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765" windowWidth="14805" windowHeight="4365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ФСГС!$A$1:$AB$543</definedName>
  </definedNames>
  <calcPr calcId="145621"/>
</workbook>
</file>

<file path=xl/calcChain.xml><?xml version="1.0" encoding="utf-8"?>
<calcChain xmlns="http://schemas.openxmlformats.org/spreadsheetml/2006/main">
  <c r="AA527" i="8" l="1"/>
  <c r="AA526" i="8"/>
  <c r="U129" i="8" l="1"/>
  <c r="U454" i="8"/>
  <c r="U65" i="8" l="1"/>
  <c r="U91" i="8"/>
  <c r="U203" i="8" l="1"/>
  <c r="Z27" i="8"/>
  <c r="Y27" i="8"/>
  <c r="X27" i="8"/>
  <c r="W27" i="8"/>
  <c r="V27" i="8"/>
  <c r="U27" i="8"/>
  <c r="U459" i="8"/>
  <c r="U458" i="8"/>
  <c r="U469" i="8"/>
  <c r="U466" i="8"/>
  <c r="U463" i="8"/>
  <c r="U460" i="8"/>
  <c r="U133" i="8"/>
  <c r="V133" i="8"/>
  <c r="U87" i="8" l="1"/>
  <c r="U73" i="8"/>
  <c r="U182" i="8" l="1"/>
  <c r="U183" i="8"/>
  <c r="U126" i="8" l="1"/>
  <c r="AA129" i="8"/>
  <c r="U195" i="8" l="1"/>
  <c r="U196" i="8"/>
  <c r="U162" i="8"/>
  <c r="U187" i="8"/>
  <c r="AA188" i="8"/>
  <c r="V187" i="8"/>
  <c r="W187" i="8"/>
  <c r="X187" i="8"/>
  <c r="Y187" i="8"/>
  <c r="Z187" i="8"/>
  <c r="V180" i="8"/>
  <c r="W180" i="8"/>
  <c r="X180" i="8"/>
  <c r="Y180" i="8"/>
  <c r="Z180" i="8"/>
  <c r="U180" i="8"/>
  <c r="AA181" i="8"/>
  <c r="V173" i="8"/>
  <c r="W173" i="8"/>
  <c r="X173" i="8"/>
  <c r="Y173" i="8"/>
  <c r="Z173" i="8"/>
  <c r="U176" i="8"/>
  <c r="U173" i="8" s="1"/>
  <c r="T174" i="8"/>
  <c r="AA174" i="8" s="1"/>
  <c r="V166" i="8"/>
  <c r="W166" i="8"/>
  <c r="X166" i="8"/>
  <c r="Y166" i="8"/>
  <c r="Z166" i="8"/>
  <c r="AA167" i="8"/>
  <c r="AA168" i="8"/>
  <c r="U169" i="8"/>
  <c r="AA169" i="8" s="1"/>
  <c r="Z26" i="8"/>
  <c r="Y26" i="8"/>
  <c r="X26" i="8"/>
  <c r="W26" i="8"/>
  <c r="U26" i="8"/>
  <c r="V26" i="8"/>
  <c r="AA127" i="8"/>
  <c r="AA128" i="8"/>
  <c r="U204" i="8"/>
  <c r="U380" i="8"/>
  <c r="AA385" i="8"/>
  <c r="AA384" i="8"/>
  <c r="AA294" i="8"/>
  <c r="AA254" i="8"/>
  <c r="U289" i="8"/>
  <c r="AA296" i="8"/>
  <c r="AA295" i="8"/>
  <c r="U249" i="8"/>
  <c r="V249" i="8"/>
  <c r="W249" i="8"/>
  <c r="X249" i="8"/>
  <c r="Y249" i="8"/>
  <c r="Z249" i="8"/>
  <c r="U166" i="8" l="1"/>
  <c r="AA255" i="8"/>
  <c r="AA209" i="8"/>
  <c r="AA210" i="8"/>
  <c r="AA207" i="8"/>
  <c r="U205" i="8"/>
  <c r="U202" i="8" s="1"/>
  <c r="V205" i="8"/>
  <c r="W205" i="8"/>
  <c r="X205" i="8"/>
  <c r="Y205" i="8"/>
  <c r="Z205" i="8"/>
  <c r="U104" i="8" l="1"/>
  <c r="U83" i="8"/>
  <c r="U71" i="8"/>
  <c r="U95" i="8"/>
  <c r="U121" i="8"/>
  <c r="U113" i="8"/>
  <c r="U124" i="8"/>
  <c r="U108" i="8" l="1"/>
  <c r="U490" i="8" l="1"/>
  <c r="U164" i="8"/>
  <c r="U137" i="8" s="1"/>
  <c r="V164" i="8" l="1"/>
  <c r="W164" i="8"/>
  <c r="X164" i="8"/>
  <c r="Y164" i="8"/>
  <c r="Z164" i="8"/>
  <c r="V162" i="8"/>
  <c r="W162" i="8"/>
  <c r="X162" i="8"/>
  <c r="Y162" i="8"/>
  <c r="Z162" i="8"/>
  <c r="AA27" i="8"/>
  <c r="AA26" i="8"/>
  <c r="X476" i="8"/>
  <c r="U165" i="8" l="1"/>
  <c r="AA165" i="8" s="1"/>
  <c r="AA186" i="8"/>
  <c r="AA185" i="8"/>
  <c r="AA184" i="8"/>
  <c r="AA179" i="8"/>
  <c r="AA172" i="8"/>
  <c r="AA192" i="8"/>
  <c r="AA193" i="8"/>
  <c r="AA191" i="8"/>
  <c r="AA508" i="8"/>
  <c r="AA530" i="8" l="1"/>
  <c r="AA493" i="8"/>
  <c r="AA125" i="8"/>
  <c r="AA112" i="8"/>
  <c r="AA96" i="8"/>
  <c r="AA94" i="8"/>
  <c r="AA92" i="8"/>
  <c r="AA90" i="8"/>
  <c r="AA88" i="8"/>
  <c r="AA86" i="8"/>
  <c r="AA84" i="8"/>
  <c r="AA82" i="8"/>
  <c r="AA80" i="8"/>
  <c r="AA105" i="8"/>
  <c r="AA109" i="8"/>
  <c r="AA107" i="8"/>
  <c r="AA132" i="8"/>
  <c r="AA131" i="8"/>
  <c r="AA49" i="8"/>
  <c r="Y32" i="8"/>
  <c r="Y28" i="8" s="1"/>
  <c r="Z32" i="8"/>
  <c r="Z28" i="8" s="1"/>
  <c r="Z101" i="8"/>
  <c r="Z100" i="8"/>
  <c r="Z78" i="8"/>
  <c r="Z38" i="8" s="1"/>
  <c r="Z77" i="8"/>
  <c r="Z76" i="8"/>
  <c r="Z75" i="8"/>
  <c r="Z68" i="8"/>
  <c r="Z37" i="8" s="1"/>
  <c r="Z67" i="8"/>
  <c r="Z57" i="8"/>
  <c r="Z36" i="8" s="1"/>
  <c r="Z56" i="8"/>
  <c r="Z50" i="8"/>
  <c r="Z41" i="8"/>
  <c r="Z35" i="8"/>
  <c r="Z33" i="8"/>
  <c r="Z30" i="8"/>
  <c r="Z29" i="8"/>
  <c r="AA120" i="8"/>
  <c r="AA117" i="8"/>
  <c r="AA118" i="8"/>
  <c r="AA116" i="8"/>
  <c r="AA122" i="8"/>
  <c r="Z124" i="8"/>
  <c r="AA176" i="8"/>
  <c r="AA190" i="8"/>
  <c r="AA183" i="8"/>
  <c r="AA469" i="8"/>
  <c r="AA463" i="8"/>
  <c r="AA460" i="8"/>
  <c r="AA487" i="8"/>
  <c r="AA486" i="8"/>
  <c r="AA485" i="8"/>
  <c r="AA483" i="8"/>
  <c r="AA481" i="8"/>
  <c r="AA479" i="8"/>
  <c r="Z477" i="8"/>
  <c r="Z473" i="8" s="1"/>
  <c r="Z476" i="8"/>
  <c r="Z203" i="8"/>
  <c r="Y457" i="8"/>
  <c r="AA471" i="8"/>
  <c r="AA470" i="8"/>
  <c r="AA468" i="8"/>
  <c r="AA467" i="8"/>
  <c r="AA466" i="8"/>
  <c r="AA465" i="8"/>
  <c r="AA464" i="8"/>
  <c r="AA462" i="8"/>
  <c r="AA461" i="8"/>
  <c r="AA456" i="8"/>
  <c r="AA455" i="8"/>
  <c r="Z459" i="8"/>
  <c r="Z458" i="8"/>
  <c r="Z144" i="8" s="1"/>
  <c r="Z457" i="8"/>
  <c r="Y459" i="8"/>
  <c r="Y458" i="8"/>
  <c r="Y144" i="8" s="1"/>
  <c r="Z145" i="8"/>
  <c r="Z146" i="8"/>
  <c r="AA156" i="8"/>
  <c r="AA158" i="8"/>
  <c r="AA178" i="8"/>
  <c r="AA177" i="8"/>
  <c r="AA171" i="8"/>
  <c r="AA170" i="8"/>
  <c r="Z161" i="8"/>
  <c r="Z160" i="8"/>
  <c r="AA195" i="8"/>
  <c r="AA199" i="8"/>
  <c r="AA198" i="8"/>
  <c r="Z194" i="8"/>
  <c r="AA509" i="8"/>
  <c r="AA506" i="8"/>
  <c r="AA507" i="8"/>
  <c r="AA504" i="8"/>
  <c r="AA499" i="8"/>
  <c r="AA496" i="8"/>
  <c r="AA502" i="8"/>
  <c r="Z501" i="8"/>
  <c r="Z500" i="8"/>
  <c r="Z498" i="8"/>
  <c r="Z497" i="8"/>
  <c r="Z495" i="8"/>
  <c r="Z494" i="8"/>
  <c r="Z492" i="8"/>
  <c r="Z491" i="8"/>
  <c r="Z490" i="8"/>
  <c r="Z474" i="8" s="1"/>
  <c r="U501" i="8"/>
  <c r="U498" i="8"/>
  <c r="U495" i="8"/>
  <c r="U492" i="8"/>
  <c r="U505" i="8" l="1"/>
  <c r="AA505" i="8" s="1"/>
  <c r="Z159" i="8"/>
  <c r="Z136" i="8" s="1"/>
  <c r="Z138" i="8"/>
  <c r="Z137" i="8"/>
  <c r="Z489" i="8"/>
  <c r="AA525" i="8"/>
  <c r="AA523" i="8"/>
  <c r="AA520" i="8"/>
  <c r="AA522" i="8"/>
  <c r="Z511" i="8"/>
  <c r="Z475" i="8" s="1"/>
  <c r="AA513" i="8"/>
  <c r="AA515" i="8"/>
  <c r="AA517" i="8"/>
  <c r="AA519" i="8"/>
  <c r="Z510" i="8"/>
  <c r="AA533" i="8"/>
  <c r="AA534" i="8"/>
  <c r="AA535" i="8"/>
  <c r="AA532" i="8"/>
  <c r="Z528" i="8"/>
  <c r="Z531" i="8"/>
  <c r="Z529" i="8" s="1"/>
  <c r="AA130" i="8"/>
  <c r="V126" i="8"/>
  <c r="W126" i="8"/>
  <c r="X126" i="8"/>
  <c r="Y126" i="8"/>
  <c r="Z126" i="8"/>
  <c r="U489" i="8" l="1"/>
  <c r="Z472" i="8"/>
  <c r="AA126" i="8"/>
  <c r="Z31" i="8"/>
  <c r="AA189" i="8"/>
  <c r="AA182" i="8"/>
  <c r="AA175" i="8"/>
  <c r="Z17" i="8" l="1"/>
  <c r="X477" i="8"/>
  <c r="U476" i="8"/>
  <c r="V476" i="8"/>
  <c r="W476" i="8"/>
  <c r="Y476" i="8"/>
  <c r="U477" i="8"/>
  <c r="V477" i="8"/>
  <c r="W477" i="8"/>
  <c r="Y477" i="8"/>
  <c r="T477" i="8"/>
  <c r="AA477" i="8" l="1"/>
  <c r="T65" i="8" l="1"/>
  <c r="AA65" i="8" s="1"/>
  <c r="W501" i="8" l="1"/>
  <c r="V501" i="8"/>
  <c r="W498" i="8"/>
  <c r="V498" i="8"/>
  <c r="W495" i="8"/>
  <c r="V495" i="8"/>
  <c r="W492" i="8"/>
  <c r="V492" i="8"/>
  <c r="U78" i="8" l="1"/>
  <c r="U38" i="8" s="1"/>
  <c r="AA134" i="8"/>
  <c r="AA135" i="8"/>
  <c r="AA133" i="8"/>
  <c r="U539" i="8" l="1"/>
  <c r="T97" i="8" l="1"/>
  <c r="AA97" i="8" s="1"/>
  <c r="T45" i="8"/>
  <c r="T139" i="8" l="1"/>
  <c r="T203" i="8" l="1"/>
  <c r="T142" i="8" l="1"/>
  <c r="X124" i="8" l="1"/>
  <c r="T26" i="8"/>
  <c r="T140" i="8" l="1"/>
  <c r="T27" i="8" l="1"/>
  <c r="T201" i="8" l="1"/>
  <c r="AA201" i="8" s="1"/>
  <c r="T95" i="8" l="1"/>
  <c r="AA95" i="8" s="1"/>
  <c r="T196" i="8"/>
  <c r="AA196" i="8" s="1"/>
  <c r="T197" i="8"/>
  <c r="AA197" i="8" s="1"/>
  <c r="T44" i="8"/>
  <c r="T113" i="8"/>
  <c r="AA113" i="8" s="1"/>
  <c r="T110" i="8"/>
  <c r="T518" i="8"/>
  <c r="AA518" i="8" s="1"/>
  <c r="T484" i="8"/>
  <c r="AA484" i="8" s="1"/>
  <c r="T153" i="8"/>
  <c r="T108" i="8"/>
  <c r="AA108" i="8" s="1"/>
  <c r="T91" i="8"/>
  <c r="AA91" i="8" s="1"/>
  <c r="T104" i="8"/>
  <c r="AA104" i="8" s="1"/>
  <c r="T87" i="8"/>
  <c r="AA87" i="8" s="1"/>
  <c r="T83" i="8"/>
  <c r="AA83" i="8" s="1"/>
  <c r="T60" i="8"/>
  <c r="AA60" i="8" s="1"/>
  <c r="T482" i="8"/>
  <c r="AA482" i="8" s="1"/>
  <c r="T73" i="8"/>
  <c r="AA73" i="8" s="1"/>
  <c r="T62" i="8"/>
  <c r="AA62" i="8" s="1"/>
  <c r="T512" i="8"/>
  <c r="AA512" i="8" s="1"/>
  <c r="T478" i="8"/>
  <c r="AA478" i="8" s="1"/>
  <c r="T102" i="8"/>
  <c r="AA102" i="8" s="1"/>
  <c r="T79" i="8"/>
  <c r="AA79" i="8" s="1"/>
  <c r="T69" i="8"/>
  <c r="AA69" i="8" s="1"/>
  <c r="AA98" i="8" l="1"/>
  <c r="T204" i="8" l="1"/>
  <c r="AA204" i="8" s="1"/>
  <c r="AA540" i="8" l="1"/>
  <c r="U30" i="8" l="1"/>
  <c r="V30" i="8"/>
  <c r="W30" i="8"/>
  <c r="X30" i="8"/>
  <c r="Y30" i="8"/>
  <c r="T30" i="8"/>
  <c r="U29" i="8"/>
  <c r="V29" i="8"/>
  <c r="W29" i="8"/>
  <c r="X29" i="8"/>
  <c r="Y29" i="8"/>
  <c r="T29" i="8"/>
  <c r="U146" i="8" l="1"/>
  <c r="V146" i="8"/>
  <c r="W146" i="8"/>
  <c r="X146" i="8"/>
  <c r="Y146" i="8"/>
  <c r="T146" i="8"/>
  <c r="AA146" i="8" s="1"/>
  <c r="U457" i="8"/>
  <c r="V457" i="8"/>
  <c r="W457" i="8"/>
  <c r="X457" i="8"/>
  <c r="T457" i="8"/>
  <c r="V459" i="8"/>
  <c r="W459" i="8"/>
  <c r="X459" i="8"/>
  <c r="T459" i="8"/>
  <c r="V458" i="8"/>
  <c r="V144" i="8" s="1"/>
  <c r="W458" i="8"/>
  <c r="W144" i="8" s="1"/>
  <c r="X458" i="8"/>
  <c r="X144" i="8" s="1"/>
  <c r="T458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57" i="8"/>
  <c r="AA458" i="8"/>
  <c r="AA459" i="8"/>
  <c r="AA144" i="8"/>
  <c r="Y78" i="8" l="1"/>
  <c r="Y38" i="8" s="1"/>
  <c r="T78" i="8"/>
  <c r="X78" i="8"/>
  <c r="X38" i="8" s="1"/>
  <c r="W78" i="8"/>
  <c r="W38" i="8" s="1"/>
  <c r="U528" i="8"/>
  <c r="V528" i="8"/>
  <c r="W528" i="8"/>
  <c r="X528" i="8"/>
  <c r="Y528" i="8"/>
  <c r="T528" i="8"/>
  <c r="AA528" i="8" l="1"/>
  <c r="T38" i="8"/>
  <c r="V78" i="8"/>
  <c r="V38" i="8" s="1"/>
  <c r="AA539" i="8"/>
  <c r="T187" i="8"/>
  <c r="T180" i="8"/>
  <c r="T173" i="8"/>
  <c r="T166" i="8"/>
  <c r="AA166" i="8" s="1"/>
  <c r="U75" i="8"/>
  <c r="AA187" i="8" l="1"/>
  <c r="AA78" i="8"/>
  <c r="AA173" i="8"/>
  <c r="AA180" i="8"/>
  <c r="AA110" i="8"/>
  <c r="AA154" i="8"/>
  <c r="AA152" i="8"/>
  <c r="AA150" i="8"/>
  <c r="AA148" i="8"/>
  <c r="T162" i="8"/>
  <c r="T103" i="8"/>
  <c r="T58" i="8"/>
  <c r="AA58" i="8" s="1"/>
  <c r="AA153" i="8"/>
  <c r="T514" i="8"/>
  <c r="AA514" i="8" s="1"/>
  <c r="T516" i="8"/>
  <c r="AA516" i="8" s="1"/>
  <c r="T480" i="8"/>
  <c r="AA480" i="8" s="1"/>
  <c r="T454" i="8"/>
  <c r="AA454" i="8" s="1"/>
  <c r="T106" i="8"/>
  <c r="AA106" i="8" s="1"/>
  <c r="T71" i="8"/>
  <c r="AA71" i="8" s="1"/>
  <c r="AA44" i="8"/>
  <c r="T124" i="8"/>
  <c r="T149" i="8"/>
  <c r="AA149" i="8" s="1"/>
  <c r="V203" i="8"/>
  <c r="W203" i="8"/>
  <c r="X203" i="8"/>
  <c r="Y203" i="8"/>
  <c r="AA536" i="8"/>
  <c r="Y531" i="8"/>
  <c r="Y529" i="8" s="1"/>
  <c r="X531" i="8"/>
  <c r="X529" i="8" s="1"/>
  <c r="W531" i="8"/>
  <c r="W529" i="8" s="1"/>
  <c r="V531" i="8"/>
  <c r="V529" i="8" s="1"/>
  <c r="U531" i="8"/>
  <c r="U529" i="8" s="1"/>
  <c r="T531" i="8"/>
  <c r="T529" i="8" s="1"/>
  <c r="AA529" i="8"/>
  <c r="AA524" i="8"/>
  <c r="Y511" i="8"/>
  <c r="Y475" i="8" s="1"/>
  <c r="X511" i="8"/>
  <c r="X475" i="8" s="1"/>
  <c r="W511" i="8"/>
  <c r="W475" i="8" s="1"/>
  <c r="V511" i="8"/>
  <c r="V475" i="8" s="1"/>
  <c r="U511" i="8"/>
  <c r="U475" i="8" s="1"/>
  <c r="Y510" i="8"/>
  <c r="X510" i="8"/>
  <c r="W510" i="8"/>
  <c r="V510" i="8"/>
  <c r="U510" i="8"/>
  <c r="U472" i="8" s="1"/>
  <c r="AA503" i="8"/>
  <c r="Y501" i="8"/>
  <c r="X501" i="8"/>
  <c r="T501" i="8"/>
  <c r="Y500" i="8"/>
  <c r="X500" i="8"/>
  <c r="W500" i="8"/>
  <c r="V500" i="8"/>
  <c r="U500" i="8"/>
  <c r="T500" i="8"/>
  <c r="Y498" i="8"/>
  <c r="X498" i="8"/>
  <c r="T498" i="8"/>
  <c r="Y497" i="8"/>
  <c r="X497" i="8"/>
  <c r="W497" i="8"/>
  <c r="V497" i="8"/>
  <c r="U497" i="8"/>
  <c r="T497" i="8"/>
  <c r="Y495" i="8"/>
  <c r="X495" i="8"/>
  <c r="T495" i="8"/>
  <c r="Y494" i="8"/>
  <c r="X494" i="8"/>
  <c r="W494" i="8"/>
  <c r="V494" i="8"/>
  <c r="U494" i="8"/>
  <c r="T494" i="8"/>
  <c r="Y492" i="8"/>
  <c r="X492" i="8"/>
  <c r="T492" i="8"/>
  <c r="Y491" i="8"/>
  <c r="X491" i="8"/>
  <c r="W491" i="8"/>
  <c r="V491" i="8"/>
  <c r="U491" i="8"/>
  <c r="T491" i="8"/>
  <c r="Y490" i="8"/>
  <c r="Y474" i="8" s="1"/>
  <c r="X490" i="8"/>
  <c r="X474" i="8" s="1"/>
  <c r="W490" i="8"/>
  <c r="W474" i="8" s="1"/>
  <c r="V490" i="8"/>
  <c r="V474" i="8" s="1"/>
  <c r="U474" i="8"/>
  <c r="T490" i="8"/>
  <c r="Y473" i="8"/>
  <c r="X473" i="8"/>
  <c r="W473" i="8"/>
  <c r="V473" i="8"/>
  <c r="U473" i="8"/>
  <c r="AA453" i="8"/>
  <c r="AA452" i="8"/>
  <c r="AA451" i="8"/>
  <c r="AA450" i="8"/>
  <c r="AA449" i="8"/>
  <c r="T448" i="8"/>
  <c r="AA448" i="8" s="1"/>
  <c r="AA447" i="8"/>
  <c r="AA446" i="8"/>
  <c r="AA445" i="8"/>
  <c r="AA444" i="8"/>
  <c r="AA443" i="8"/>
  <c r="T442" i="8"/>
  <c r="AA442" i="8" s="1"/>
  <c r="AA441" i="8"/>
  <c r="AA440" i="8"/>
  <c r="AA439" i="8"/>
  <c r="AA438" i="8"/>
  <c r="AA437" i="8"/>
  <c r="T436" i="8"/>
  <c r="AA436" i="8" s="1"/>
  <c r="AA435" i="8"/>
  <c r="AA434" i="8"/>
  <c r="AA433" i="8"/>
  <c r="AA432" i="8"/>
  <c r="AA431" i="8"/>
  <c r="T430" i="8"/>
  <c r="AA430" i="8" s="1"/>
  <c r="AA429" i="8"/>
  <c r="AA428" i="8"/>
  <c r="AA427" i="8"/>
  <c r="AA426" i="8"/>
  <c r="AA425" i="8"/>
  <c r="T424" i="8"/>
  <c r="AA424" i="8" s="1"/>
  <c r="AA423" i="8"/>
  <c r="AA422" i="8"/>
  <c r="AA421" i="8"/>
  <c r="AA420" i="8"/>
  <c r="T419" i="8"/>
  <c r="AA419" i="8" s="1"/>
  <c r="AA418" i="8"/>
  <c r="AA417" i="8"/>
  <c r="AA416" i="8"/>
  <c r="AA415" i="8"/>
  <c r="AA414" i="8"/>
  <c r="T413" i="8"/>
  <c r="AA413" i="8" s="1"/>
  <c r="AA412" i="8"/>
  <c r="AA411" i="8"/>
  <c r="AA410" i="8"/>
  <c r="AA409" i="8"/>
  <c r="AA408" i="8"/>
  <c r="T407" i="8"/>
  <c r="AA407" i="8" s="1"/>
  <c r="AA406" i="8"/>
  <c r="AA405" i="8"/>
  <c r="AA404" i="8"/>
  <c r="AA403" i="8"/>
  <c r="AA402" i="8"/>
  <c r="T401" i="8"/>
  <c r="AA401" i="8" s="1"/>
  <c r="AA400" i="8"/>
  <c r="AA399" i="8"/>
  <c r="AA398" i="8"/>
  <c r="AA397" i="8"/>
  <c r="AA396" i="8"/>
  <c r="T395" i="8"/>
  <c r="AA395" i="8" s="1"/>
  <c r="AA394" i="8"/>
  <c r="AA393" i="8"/>
  <c r="AA392" i="8"/>
  <c r="AA391" i="8"/>
  <c r="AA390" i="8"/>
  <c r="T389" i="8"/>
  <c r="AA389" i="8" s="1"/>
  <c r="AA388" i="8"/>
  <c r="AA387" i="8"/>
  <c r="AA386" i="8"/>
  <c r="AA383" i="8"/>
  <c r="T382" i="8"/>
  <c r="AA382" i="8" s="1"/>
  <c r="T381" i="8"/>
  <c r="AA381" i="8" s="1"/>
  <c r="AA379" i="8"/>
  <c r="AA378" i="8"/>
  <c r="AA377" i="8"/>
  <c r="AA376" i="8"/>
  <c r="AA375" i="8"/>
  <c r="AA374" i="8"/>
  <c r="T373" i="8"/>
  <c r="AA373" i="8" s="1"/>
  <c r="AA372" i="8"/>
  <c r="AA371" i="8"/>
  <c r="AA370" i="8"/>
  <c r="AA369" i="8"/>
  <c r="AA368" i="8"/>
  <c r="T367" i="8"/>
  <c r="AA367" i="8" s="1"/>
  <c r="AA366" i="8"/>
  <c r="AA365" i="8"/>
  <c r="AA364" i="8"/>
  <c r="AA363" i="8"/>
  <c r="AA362" i="8"/>
  <c r="T361" i="8"/>
  <c r="AA361" i="8" s="1"/>
  <c r="AA360" i="8"/>
  <c r="AA359" i="8"/>
  <c r="AA358" i="8"/>
  <c r="AA357" i="8"/>
  <c r="AA356" i="8"/>
  <c r="AA355" i="8"/>
  <c r="T354" i="8"/>
  <c r="AA354" i="8" s="1"/>
  <c r="AA353" i="8"/>
  <c r="AA352" i="8"/>
  <c r="AA351" i="8"/>
  <c r="AA350" i="8"/>
  <c r="AA349" i="8"/>
  <c r="AA348" i="8"/>
  <c r="T347" i="8"/>
  <c r="AA347" i="8" s="1"/>
  <c r="AA346" i="8"/>
  <c r="AA345" i="8"/>
  <c r="AA344" i="8"/>
  <c r="AA343" i="8"/>
  <c r="AA342" i="8"/>
  <c r="AA341" i="8"/>
  <c r="T340" i="8"/>
  <c r="AA340" i="8" s="1"/>
  <c r="AA339" i="8"/>
  <c r="AA338" i="8"/>
  <c r="AA337" i="8"/>
  <c r="AA336" i="8"/>
  <c r="AA335" i="8"/>
  <c r="AA334" i="8"/>
  <c r="T333" i="8"/>
  <c r="AA333" i="8" s="1"/>
  <c r="AA332" i="8"/>
  <c r="AA331" i="8"/>
  <c r="AA330" i="8"/>
  <c r="AA329" i="8"/>
  <c r="AA328" i="8"/>
  <c r="AA327" i="8"/>
  <c r="T326" i="8"/>
  <c r="AA326" i="8" s="1"/>
  <c r="AA325" i="8"/>
  <c r="AA324" i="8"/>
  <c r="AA323" i="8"/>
  <c r="AA322" i="8"/>
  <c r="AA321" i="8"/>
  <c r="AA320" i="8"/>
  <c r="T319" i="8"/>
  <c r="AA319" i="8" s="1"/>
  <c r="AA318" i="8"/>
  <c r="AA317" i="8"/>
  <c r="AA316" i="8"/>
  <c r="AA315" i="8"/>
  <c r="AA314" i="8"/>
  <c r="AA313" i="8"/>
  <c r="T312" i="8"/>
  <c r="AA312" i="8" s="1"/>
  <c r="AA311" i="8"/>
  <c r="AA310" i="8"/>
  <c r="AA309" i="8"/>
  <c r="AA308" i="8"/>
  <c r="AA307" i="8"/>
  <c r="AA306" i="8"/>
  <c r="T305" i="8"/>
  <c r="AA305" i="8" s="1"/>
  <c r="AA304" i="8"/>
  <c r="AA303" i="8"/>
  <c r="AA302" i="8"/>
  <c r="AA301" i="8"/>
  <c r="AA300" i="8"/>
  <c r="T299" i="8"/>
  <c r="AA299" i="8" s="1"/>
  <c r="AA298" i="8"/>
  <c r="AA297" i="8"/>
  <c r="AA293" i="8"/>
  <c r="T292" i="8"/>
  <c r="AA292" i="8" s="1"/>
  <c r="AA291" i="8"/>
  <c r="T290" i="8"/>
  <c r="AA288" i="8"/>
  <c r="AA287" i="8"/>
  <c r="AA286" i="8"/>
  <c r="AA285" i="8"/>
  <c r="T284" i="8"/>
  <c r="AA284" i="8" s="1"/>
  <c r="AA283" i="8"/>
  <c r="AA282" i="8"/>
  <c r="AA281" i="8"/>
  <c r="AA280" i="8"/>
  <c r="T279" i="8"/>
  <c r="AA279" i="8" s="1"/>
  <c r="AA278" i="8"/>
  <c r="AA277" i="8"/>
  <c r="AA276" i="8"/>
  <c r="AA275" i="8"/>
  <c r="T274" i="8"/>
  <c r="AA273" i="8"/>
  <c r="AA272" i="8"/>
  <c r="AA271" i="8"/>
  <c r="AA270" i="8"/>
  <c r="T269" i="8"/>
  <c r="AA269" i="8" s="1"/>
  <c r="AA268" i="8"/>
  <c r="AA267" i="8"/>
  <c r="AA266" i="8"/>
  <c r="AA265" i="8"/>
  <c r="T264" i="8"/>
  <c r="AA264" i="8" s="1"/>
  <c r="AA263" i="8"/>
  <c r="AA262" i="8"/>
  <c r="AA261" i="8"/>
  <c r="AA260" i="8"/>
  <c r="AA259" i="8"/>
  <c r="T258" i="8"/>
  <c r="AA258" i="8" s="1"/>
  <c r="AA257" i="8"/>
  <c r="AA256" i="8"/>
  <c r="AA253" i="8"/>
  <c r="T252" i="8"/>
  <c r="AA252" i="8" s="1"/>
  <c r="AA251" i="8"/>
  <c r="T250" i="8"/>
  <c r="AA248" i="8"/>
  <c r="AA247" i="8"/>
  <c r="AA246" i="8"/>
  <c r="AA245" i="8"/>
  <c r="AA244" i="8"/>
  <c r="T243" i="8"/>
  <c r="AA243" i="8" s="1"/>
  <c r="AA242" i="8"/>
  <c r="AA241" i="8"/>
  <c r="AA240" i="8"/>
  <c r="AA239" i="8"/>
  <c r="AA238" i="8"/>
  <c r="AA237" i="8"/>
  <c r="T236" i="8"/>
  <c r="AA236" i="8" s="1"/>
  <c r="AA235" i="8"/>
  <c r="AA234" i="8"/>
  <c r="AA233" i="8"/>
  <c r="AA232" i="8"/>
  <c r="AA231" i="8"/>
  <c r="T230" i="8"/>
  <c r="AA230" i="8" s="1"/>
  <c r="AA229" i="8"/>
  <c r="AA228" i="8"/>
  <c r="AA227" i="8"/>
  <c r="AA226" i="8"/>
  <c r="AA225" i="8"/>
  <c r="T224" i="8"/>
  <c r="AA224" i="8" s="1"/>
  <c r="AA223" i="8"/>
  <c r="AA222" i="8"/>
  <c r="AA221" i="8"/>
  <c r="AA220" i="8"/>
  <c r="T219" i="8"/>
  <c r="AA219" i="8" s="1"/>
  <c r="AA218" i="8"/>
  <c r="AD217" i="8"/>
  <c r="AA217" i="8"/>
  <c r="AD216" i="8"/>
  <c r="AA216" i="8"/>
  <c r="AD215" i="8"/>
  <c r="AA215" i="8"/>
  <c r="AD214" i="8"/>
  <c r="T214" i="8"/>
  <c r="AA214" i="8" s="1"/>
  <c r="AA213" i="8"/>
  <c r="AA212" i="8"/>
  <c r="AA211" i="8"/>
  <c r="T208" i="8"/>
  <c r="AA208" i="8" s="1"/>
  <c r="T206" i="8"/>
  <c r="Y194" i="8"/>
  <c r="Y159" i="8" s="1"/>
  <c r="X194" i="8"/>
  <c r="X159" i="8" s="1"/>
  <c r="W194" i="8"/>
  <c r="W159" i="8" s="1"/>
  <c r="V194" i="8"/>
  <c r="V159" i="8" s="1"/>
  <c r="U194" i="8"/>
  <c r="Y137" i="8"/>
  <c r="X137" i="8"/>
  <c r="W137" i="8"/>
  <c r="V137" i="8"/>
  <c r="T164" i="8"/>
  <c r="T163" i="8"/>
  <c r="Y161" i="8"/>
  <c r="X161" i="8"/>
  <c r="W161" i="8"/>
  <c r="V161" i="8"/>
  <c r="U161" i="8"/>
  <c r="Y160" i="8"/>
  <c r="X160" i="8"/>
  <c r="W160" i="8"/>
  <c r="V160" i="8"/>
  <c r="U160" i="8"/>
  <c r="AA151" i="8"/>
  <c r="AA147" i="8"/>
  <c r="Y145" i="8"/>
  <c r="X145" i="8"/>
  <c r="W145" i="8"/>
  <c r="V145" i="8"/>
  <c r="U145" i="8"/>
  <c r="Y124" i="8"/>
  <c r="W124" i="8"/>
  <c r="V124" i="8"/>
  <c r="T121" i="8"/>
  <c r="AA121" i="8" s="1"/>
  <c r="Y101" i="8"/>
  <c r="X101" i="8"/>
  <c r="W101" i="8"/>
  <c r="V101" i="8"/>
  <c r="U101" i="8"/>
  <c r="Y100" i="8"/>
  <c r="X100" i="8"/>
  <c r="W100" i="8"/>
  <c r="V100" i="8"/>
  <c r="U100" i="8"/>
  <c r="Y77" i="8"/>
  <c r="X77" i="8"/>
  <c r="W77" i="8"/>
  <c r="V77" i="8"/>
  <c r="U77" i="8"/>
  <c r="T77" i="8"/>
  <c r="Y76" i="8"/>
  <c r="X76" i="8"/>
  <c r="W76" i="8"/>
  <c r="V76" i="8"/>
  <c r="U76" i="8"/>
  <c r="T76" i="8"/>
  <c r="Y75" i="8"/>
  <c r="X75" i="8"/>
  <c r="W75" i="8"/>
  <c r="V75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AA40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T205" i="8" l="1"/>
  <c r="AA205" i="8" s="1"/>
  <c r="T249" i="8"/>
  <c r="AA35" i="8"/>
  <c r="AA510" i="8"/>
  <c r="AA492" i="8"/>
  <c r="AA162" i="8"/>
  <c r="AA30" i="8"/>
  <c r="AA76" i="8"/>
  <c r="W138" i="8"/>
  <c r="T137" i="8"/>
  <c r="AA137" i="8" s="1"/>
  <c r="AA164" i="8"/>
  <c r="AA495" i="8"/>
  <c r="AA124" i="8"/>
  <c r="AA498" i="8"/>
  <c r="U159" i="8"/>
  <c r="U136" i="8" s="1"/>
  <c r="AA501" i="8"/>
  <c r="AA203" i="8"/>
  <c r="T101" i="8"/>
  <c r="AA101" i="8" s="1"/>
  <c r="AA103" i="8"/>
  <c r="T476" i="8"/>
  <c r="AA476" i="8" s="1"/>
  <c r="T474" i="8"/>
  <c r="AA474" i="8" s="1"/>
  <c r="AA490" i="8"/>
  <c r="U138" i="8"/>
  <c r="W31" i="8"/>
  <c r="X31" i="8"/>
  <c r="U31" i="8"/>
  <c r="V31" i="8"/>
  <c r="Y31" i="8"/>
  <c r="AA250" i="8"/>
  <c r="AA249" i="8"/>
  <c r="AA290" i="8"/>
  <c r="T289" i="8"/>
  <c r="AA289" i="8" s="1"/>
  <c r="Y136" i="8"/>
  <c r="AA206" i="8"/>
  <c r="V138" i="8"/>
  <c r="T138" i="8"/>
  <c r="U139" i="8" s="1"/>
  <c r="V136" i="8"/>
  <c r="X138" i="8"/>
  <c r="W136" i="8"/>
  <c r="Y138" i="8"/>
  <c r="X136" i="8"/>
  <c r="T511" i="8"/>
  <c r="AA511" i="8" s="1"/>
  <c r="T488" i="8"/>
  <c r="X489" i="8"/>
  <c r="X472" i="8" s="1"/>
  <c r="AA494" i="8"/>
  <c r="AA500" i="8"/>
  <c r="V488" i="8"/>
  <c r="Y488" i="8"/>
  <c r="AA491" i="8"/>
  <c r="AA497" i="8"/>
  <c r="X488" i="8"/>
  <c r="T510" i="8"/>
  <c r="W488" i="8"/>
  <c r="T67" i="8"/>
  <c r="AA67" i="8" s="1"/>
  <c r="T489" i="8"/>
  <c r="AA50" i="8"/>
  <c r="U488" i="8"/>
  <c r="T161" i="8"/>
  <c r="AA161" i="8" s="1"/>
  <c r="T100" i="8"/>
  <c r="AA100" i="8" s="1"/>
  <c r="AD218" i="8"/>
  <c r="AA274" i="8"/>
  <c r="T380" i="8"/>
  <c r="AA380" i="8" s="1"/>
  <c r="V489" i="8"/>
  <c r="V472" i="8" s="1"/>
  <c r="T145" i="8"/>
  <c r="AA145" i="8" s="1"/>
  <c r="AA38" i="8"/>
  <c r="T160" i="8"/>
  <c r="AA160" i="8" s="1"/>
  <c r="Y489" i="8"/>
  <c r="Y472" i="8" s="1"/>
  <c r="W489" i="8"/>
  <c r="W472" i="8" s="1"/>
  <c r="T75" i="8"/>
  <c r="AA75" i="8" s="1"/>
  <c r="T194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W139" i="8" l="1"/>
  <c r="Z139" i="8"/>
  <c r="AA139" i="8" s="1"/>
  <c r="V139" i="8"/>
  <c r="Y139" i="8"/>
  <c r="X139" i="8"/>
  <c r="AA138" i="8"/>
  <c r="U17" i="8"/>
  <c r="X17" i="8"/>
  <c r="Y17" i="8"/>
  <c r="W17" i="8"/>
  <c r="V17" i="8"/>
  <c r="AA489" i="8"/>
  <c r="T159" i="8"/>
  <c r="AA159" i="8" s="1"/>
  <c r="AA194" i="8"/>
  <c r="T31" i="8"/>
  <c r="T475" i="8"/>
  <c r="AA475" i="8" s="1"/>
  <c r="T202" i="8"/>
  <c r="AA202" i="8" s="1"/>
  <c r="AA488" i="8"/>
  <c r="T472" i="8"/>
  <c r="AA472" i="8" s="1"/>
  <c r="T473" i="8"/>
  <c r="AA473" i="8" s="1"/>
  <c r="AA41" i="8"/>
  <c r="AA20" i="8"/>
  <c r="AA23" i="8"/>
  <c r="AA18" i="8"/>
  <c r="AA31" i="8" l="1"/>
  <c r="T136" i="8"/>
  <c r="AA136" i="8" s="1"/>
  <c r="T17" i="8" l="1"/>
  <c r="AA17" i="8" s="1"/>
</calcChain>
</file>

<file path=xl/sharedStrings.xml><?xml version="1.0" encoding="utf-8"?>
<sst xmlns="http://schemas.openxmlformats.org/spreadsheetml/2006/main" count="5277" uniqueCount="350">
  <si>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</si>
  <si>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</si>
  <si>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</si>
  <si>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</si>
  <si>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</si>
  <si>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</si>
  <si>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</si>
  <si>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</si>
  <si>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</si>
  <si>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</si>
  <si>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ед.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</si>
  <si>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</si>
  <si>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</si>
  <si>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</si>
  <si>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</si>
  <si>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</si>
  <si>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</si>
  <si>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</si>
  <si>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</si>
  <si>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</si>
  <si>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</si>
  <si>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</si>
  <si>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</si>
  <si>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</si>
  <si>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</si>
  <si>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</si>
  <si>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</si>
  <si>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</si>
  <si>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</si>
  <si>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</si>
  <si>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</si>
  <si>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</si>
  <si>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</si>
  <si>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</si>
  <si>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</si>
  <si>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</si>
  <si>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</si>
  <si>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</si>
  <si>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</si>
  <si>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</si>
  <si>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</si>
  <si>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</si>
  <si>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</si>
  <si>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</si>
  <si>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</si>
  <si>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</si>
  <si>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</si>
  <si>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</si>
  <si>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</si>
  <si>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</si>
  <si>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</si>
  <si>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</si>
  <si>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</si>
  <si>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</si>
  <si>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</si>
  <si>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</si>
  <si>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</si>
  <si>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</si>
  <si>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</si>
  <si>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</si>
  <si>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</si>
  <si>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</si>
  <si>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</si>
  <si>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</si>
  <si>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</si>
  <si>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</si>
  <si>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</si>
  <si>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</si>
  <si>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</si>
  <si>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</si>
  <si>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</si>
  <si>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</si>
  <si>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</si>
  <si>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</si>
  <si>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</si>
  <si>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</si>
  <si>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</si>
  <si>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</si>
  <si>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</si>
  <si>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</si>
  <si>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</si>
  <si>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</si>
  <si>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</si>
  <si>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</si>
  <si>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</si>
  <si>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</si>
  <si>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</si>
  <si>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</si>
  <si>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</si>
  <si>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</si>
  <si>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</si>
  <si>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</si>
  <si>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</si>
  <si>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</si>
  <si>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</si>
  <si>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</si>
  <si>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</si>
  <si>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</si>
  <si>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</si>
  <si>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</si>
  <si>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</si>
  <si>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</si>
  <si>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</si>
  <si>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</si>
  <si>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</si>
  <si>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</si>
  <si>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</si>
  <si>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</si>
  <si>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</si>
  <si>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</si>
  <si>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</si>
  <si>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</si>
  <si>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</si>
  <si>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</si>
  <si>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</si>
  <si>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</si>
  <si>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</si>
  <si>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</si>
  <si>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</si>
  <si>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</si>
  <si>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</si>
  <si>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</si>
  <si>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</si>
  <si>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</si>
  <si>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</si>
  <si>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</si>
  <si>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</si>
  <si>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</si>
  <si>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</si>
  <si>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</si>
  <si>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</si>
  <si>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</si>
  <si>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</si>
  <si>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</si>
  <si>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</si>
  <si>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</si>
  <si>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</si>
  <si>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</si>
  <si>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</si>
  <si>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</si>
  <si>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</si>
  <si>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</si>
  <si>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</si>
  <si>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</si>
  <si>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</si>
  <si>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</si>
  <si>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</si>
  <si>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</si>
  <si>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</si>
  <si>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</si>
  <si>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</si>
  <si>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</si>
  <si>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</si>
  <si>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</si>
  <si>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</si>
  <si>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</si>
  <si>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</si>
  <si>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</si>
  <si>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</si>
  <si>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</si>
  <si>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</si>
  <si>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</si>
  <si>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</si>
  <si>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</si>
  <si>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</si>
  <si>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</si>
  <si>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</si>
  <si>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</si>
  <si>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</si>
  <si>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</si>
  <si>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</si>
  <si>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</si>
  <si>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</si>
  <si>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</si>
  <si>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</si>
  <si>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</si>
  <si>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</si>
  <si>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</si>
  <si>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</si>
  <si>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</si>
  <si>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</si>
  <si>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</si>
  <si>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</si>
  <si>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</si>
  <si>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</si>
  <si>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</si>
  <si>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</si>
  <si>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</si>
  <si>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</si>
  <si>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</si>
  <si>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</si>
  <si>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</si>
  <si>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</si>
  <si>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</si>
  <si>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</si>
  <si>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</si>
  <si>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</si>
  <si>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</si>
  <si>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</si>
  <si>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</si>
  <si>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</si>
  <si>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</si>
  <si>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</si>
  <si>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</si>
  <si>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</si>
  <si>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</si>
  <si>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</si>
  <si>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</si>
  <si>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</si>
  <si>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</si>
  <si>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</si>
  <si>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</si>
  <si>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</si>
  <si>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</si>
  <si>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</si>
  <si>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</si>
  <si>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</si>
  <si>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</si>
  <si>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</si>
  <si>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</si>
  <si>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</si>
  <si>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</si>
  <si>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</si>
  <si>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</si>
  <si>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</si>
  <si>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</si>
  <si>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</si>
  <si>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</si>
  <si>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</si>
  <si>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</si>
  <si>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</si>
  <si>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</si>
  <si>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</si>
  <si>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</si>
  <si>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</si>
  <si>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</si>
  <si>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</si>
  <si>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</si>
  <si>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</si>
  <si>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</si>
  <si>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</si>
  <si>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</si>
  <si>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</si>
  <si>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</si>
  <si>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</si>
  <si>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</si>
  <si>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</si>
  <si>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</si>
  <si>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</si>
  <si>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</si>
  <si>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</si>
  <si>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</si>
  <si>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</si>
  <si>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</si>
  <si>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</si>
  <si>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</si>
  <si>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</si>
  <si>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</si>
  <si>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</si>
  <si>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</si>
  <si>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</si>
  <si>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</si>
  <si>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</si>
  <si>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</si>
  <si>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</si>
  <si>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</si>
  <si>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</si>
  <si>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</si>
  <si>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</si>
  <si>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</si>
  <si>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</si>
  <si>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</si>
  <si>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</si>
  <si>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</si>
  <si>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</si>
  <si>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</si>
  <si>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t xml:space="preserve">Мероприятие 4.03
</t>
    </r>
    <r>
      <rPr>
        <sz val="12"/>
        <rFont val="Times New Roman"/>
        <family val="1"/>
        <charset val="204"/>
      </rPr>
      <t>«Кладбище «Заволжское»»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</si>
  <si>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</si>
  <si>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</si>
  <si>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</si>
  <si>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</si>
  <si>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</si>
  <si>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</si>
  <si>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</si>
  <si>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</si>
  <si>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</si>
  <si>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</si>
  <si>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</si>
  <si>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</si>
  <si>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</si>
  <si>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</si>
  <si>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</si>
  <si>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</si>
  <si>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</si>
  <si>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
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</si>
  <si>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</si>
  <si>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</si>
  <si>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</si>
  <si>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</si>
  <si>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</si>
  <si>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</si>
  <si>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</si>
  <si>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</si>
  <si>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
(комплексное благоустройство дворовых территорий)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</si>
  <si>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</si>
  <si>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</si>
  <si>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</si>
  <si>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</si>
  <si>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</si>
  <si>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</si>
  <si>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</si>
  <si>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</si>
  <si>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</si>
  <si>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</si>
  <si>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</si>
  <si>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</si>
  <si>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</si>
  <si>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</si>
  <si>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</si>
  <si>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</si>
  <si>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</si>
  <si>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</si>
  <si>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</si>
  <si>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</si>
  <si>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</si>
  <si>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</si>
  <si>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</si>
  <si>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</si>
  <si>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</si>
  <si>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</si>
  <si>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</si>
  <si>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</si>
  <si>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</si>
  <si>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</si>
  <si>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</si>
  <si>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</si>
  <si>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</si>
  <si>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</si>
  <si>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</si>
  <si>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</si>
  <si>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</si>
  <si>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</si>
  <si>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</si>
  <si>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</si>
  <si>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</si>
  <si>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С.В. Романов</t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</si>
  <si>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</si>
  <si>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</si>
  <si>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</si>
  <si>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>Приложение 1
к постановлению Администрации города Твери
от «15» августа  2019 № 1043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</si>
</sst>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8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165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3"/>
  <sheetViews>
    <sheetView tabSelected="1" view="pageBreakPreview" topLeftCell="A3" zoomScale="80" zoomScaleNormal="90" zoomScaleSheetLayoutView="80" zoomScalePageLayoutView="62" workbookViewId="0">
      <selection activeCell="A3" sqref="A3:AB3"/>
    </sheetView>
  </sheetViews>
  <sheetFormatPr defaultColWidth="8.5703125" defaultRowHeight="15.75" x14ac:dyDescent="0.25"/>
  <cols>
    <col min="1" max="17" width="2.7109375" style="8" customWidth="1"/>
    <col min="18" max="18" width="54.140625" style="7" customWidth="1"/>
    <col min="19" max="19" width="10.85546875" style="7" customWidth="1"/>
    <col min="20" max="21" width="11.28515625" style="7" bestFit="1" customWidth="1"/>
    <col min="22" max="22" width="11.28515625" style="8" bestFit="1" customWidth="1"/>
    <col min="23" max="23" width="11.28515625" style="7" bestFit="1" customWidth="1"/>
    <col min="24" max="26" width="11.28515625" style="7" customWidth="1"/>
    <col min="27" max="27" width="11.85546875" style="8" bestFit="1" customWidth="1"/>
    <col min="28" max="28" width="7.7109375" style="7" customWidth="1"/>
    <col min="29" max="29" width="12.85546875" style="111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4" ht="46.9" hidden="1" customHeight="1" x14ac:dyDescent="0.25">
      <c r="A1" s="183" t="s">
        <v>322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25"/>
      <c r="AD1" s="110"/>
      <c r="AE1" s="110"/>
      <c r="AF1" s="110"/>
    </row>
    <row r="2" spans="1:34" hidden="1" x14ac:dyDescent="0.25"/>
    <row r="3" spans="1:34" ht="46.9" customHeight="1" x14ac:dyDescent="0.25">
      <c r="A3" s="183" t="s">
        <v>349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10"/>
      <c r="AD3" s="110"/>
      <c r="AE3" s="110"/>
    </row>
    <row r="4" spans="1:34" ht="25.15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10"/>
      <c r="AD4" s="110"/>
      <c r="AE4" s="110"/>
    </row>
    <row r="5" spans="1:34" x14ac:dyDescent="0.25">
      <c r="A5" s="183" t="s">
        <v>346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10"/>
      <c r="AD5" s="110"/>
      <c r="AE5" s="110"/>
    </row>
    <row r="6" spans="1:34" ht="15.6" customHeight="1" x14ac:dyDescent="0.25">
      <c r="A6" s="183" t="s">
        <v>27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9"/>
    </row>
    <row r="7" spans="1:34" ht="15.6" customHeight="1" x14ac:dyDescent="0.25">
      <c r="A7" s="183" t="s">
        <v>49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9"/>
    </row>
    <row r="8" spans="1:34" ht="15.6" customHeight="1" x14ac:dyDescent="0.25">
      <c r="A8" s="183" t="s">
        <v>311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</row>
    <row r="9" spans="1:34" ht="12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71"/>
      <c r="Y9" s="171"/>
      <c r="Z9" s="171"/>
      <c r="AA9" s="171"/>
      <c r="AB9" s="171"/>
    </row>
    <row r="10" spans="1:34" ht="18.75" customHeight="1" x14ac:dyDescent="0.25">
      <c r="A10" s="172" t="s">
        <v>13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9"/>
      <c r="AD10" s="12"/>
    </row>
    <row r="11" spans="1:34" ht="18" customHeight="1" x14ac:dyDescent="0.25">
      <c r="A11" s="172" t="s">
        <v>310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</row>
    <row r="12" spans="1:34" ht="18" customHeight="1" x14ac:dyDescent="0.25">
      <c r="A12" s="173" t="s">
        <v>58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</row>
    <row r="13" spans="1:34" ht="14.25" customHeight="1" x14ac:dyDescent="0.25">
      <c r="V13" s="13"/>
    </row>
    <row r="14" spans="1:34" s="105" customFormat="1" ht="51.6" customHeight="1" x14ac:dyDescent="0.25">
      <c r="A14" s="174" t="s">
        <v>17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6"/>
      <c r="R14" s="177" t="s">
        <v>14</v>
      </c>
      <c r="S14" s="177" t="s">
        <v>34</v>
      </c>
      <c r="T14" s="180" t="s">
        <v>15</v>
      </c>
      <c r="U14" s="181"/>
      <c r="V14" s="181"/>
      <c r="W14" s="181"/>
      <c r="X14" s="181"/>
      <c r="Y14" s="181"/>
      <c r="Z14" s="182"/>
      <c r="AA14" s="179" t="s">
        <v>11</v>
      </c>
      <c r="AB14" s="179"/>
      <c r="AC14" s="9"/>
      <c r="AD14" s="9"/>
      <c r="AE14" s="9"/>
      <c r="AF14" s="9"/>
      <c r="AG14" s="9"/>
      <c r="AH14" s="9"/>
    </row>
    <row r="15" spans="1:34" s="105" customFormat="1" ht="53.45" customHeight="1" x14ac:dyDescent="0.25">
      <c r="A15" s="174" t="s">
        <v>30</v>
      </c>
      <c r="B15" s="175"/>
      <c r="C15" s="176"/>
      <c r="D15" s="174" t="s">
        <v>28</v>
      </c>
      <c r="E15" s="176"/>
      <c r="F15" s="174" t="s">
        <v>29</v>
      </c>
      <c r="G15" s="176"/>
      <c r="H15" s="174" t="s">
        <v>18</v>
      </c>
      <c r="I15" s="175"/>
      <c r="J15" s="175"/>
      <c r="K15" s="175"/>
      <c r="L15" s="175"/>
      <c r="M15" s="175"/>
      <c r="N15" s="175"/>
      <c r="O15" s="175"/>
      <c r="P15" s="175"/>
      <c r="Q15" s="176"/>
      <c r="R15" s="178"/>
      <c r="S15" s="178"/>
      <c r="T15" s="147">
        <v>2018</v>
      </c>
      <c r="U15" s="147">
        <v>2019</v>
      </c>
      <c r="V15" s="147">
        <v>2020</v>
      </c>
      <c r="W15" s="147">
        <v>2021</v>
      </c>
      <c r="X15" s="147">
        <v>2022</v>
      </c>
      <c r="Y15" s="147">
        <v>2023</v>
      </c>
      <c r="Z15" s="147">
        <v>2024</v>
      </c>
      <c r="AA15" s="147" t="s">
        <v>12</v>
      </c>
      <c r="AB15" s="147" t="s">
        <v>31</v>
      </c>
      <c r="AC15" s="14"/>
      <c r="AD15" s="15"/>
      <c r="AE15" s="15"/>
      <c r="AF15" s="16"/>
      <c r="AG15" s="16"/>
      <c r="AH15" s="16"/>
    </row>
    <row r="16" spans="1:34" s="105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9.2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16</v>
      </c>
      <c r="S17" s="23" t="s">
        <v>0</v>
      </c>
      <c r="T17" s="24">
        <f t="shared" ref="T17:Z17" si="0">T31+T136+T472+T528</f>
        <v>505632.41500000004</v>
      </c>
      <c r="U17" s="24">
        <f t="shared" si="0"/>
        <v>478211.8</v>
      </c>
      <c r="V17" s="24">
        <f t="shared" si="0"/>
        <v>445092.8</v>
      </c>
      <c r="W17" s="24">
        <f t="shared" si="0"/>
        <v>262964</v>
      </c>
      <c r="X17" s="24">
        <f t="shared" si="0"/>
        <v>274611.39999999997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2505735.2149999999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149999999999999" hidden="1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149999999999999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47.2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60</v>
      </c>
      <c r="S25" s="17"/>
      <c r="T25" s="36"/>
      <c r="U25" s="36"/>
      <c r="V25" s="36"/>
      <c r="W25" s="36"/>
      <c r="X25" s="36"/>
      <c r="Y25" s="36"/>
      <c r="Z25" s="36"/>
      <c r="AA25" s="36"/>
      <c r="AB25" s="37"/>
      <c r="AC25" s="100"/>
      <c r="AD25" s="39"/>
      <c r="AE25" s="39"/>
    </row>
    <row r="26" spans="1:36" ht="63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 t="s">
        <v>61</v>
      </c>
      <c r="S26" s="42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7">
        <v>2024</v>
      </c>
      <c r="AC26" s="33"/>
    </row>
    <row r="27" spans="1:36" ht="47.25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 t="s">
        <v>62</v>
      </c>
      <c r="S27" s="42" t="s">
        <v>9</v>
      </c>
      <c r="T27" s="3">
        <f>((842+61)+58)/2737*100</f>
        <v>35.111435878699304</v>
      </c>
      <c r="U27" s="3">
        <f>((842+61)+58+43)/2737*100</f>
        <v>36.682499086591157</v>
      </c>
      <c r="V27" s="3">
        <f>((842+61)+58+43+48)/2737*100</f>
        <v>38.436244062842526</v>
      </c>
      <c r="W27" s="3">
        <f>((842+61)+58+43+48+48)/2737*100</f>
        <v>40.189989039093902</v>
      </c>
      <c r="X27" s="3">
        <f>((842+61)+58+436+48+48+48)/2737*100</f>
        <v>56.30252100840336</v>
      </c>
      <c r="Y27" s="3">
        <f>((842+61)+58+43+48+48+48+48)/2737*100</f>
        <v>43.69747899159664</v>
      </c>
      <c r="Z27" s="3">
        <f>((842+61)+58+43+48+48+48+48+48)/2737*100</f>
        <v>45.451223967848009</v>
      </c>
      <c r="AA27" s="6">
        <f>Z27</f>
        <v>45.451223967848009</v>
      </c>
      <c r="AB27" s="147">
        <v>2024</v>
      </c>
      <c r="AC27" s="43"/>
      <c r="AD27" s="44"/>
      <c r="AE27" s="44"/>
      <c r="AF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63</v>
      </c>
      <c r="S28" s="42" t="s">
        <v>35</v>
      </c>
      <c r="T28" s="138">
        <f>T32/420.1</f>
        <v>0.21328255177338726</v>
      </c>
      <c r="U28" s="138">
        <f>U32/420.1</f>
        <v>0.13901452035229706</v>
      </c>
      <c r="V28" s="138">
        <f t="shared" ref="V28:Z28" si="6">V32/420.1</f>
        <v>0.153058795524875</v>
      </c>
      <c r="W28" s="138">
        <f t="shared" si="6"/>
        <v>0.153058795524875</v>
      </c>
      <c r="X28" s="138">
        <f t="shared" si="6"/>
        <v>0.153058795524875</v>
      </c>
      <c r="Y28" s="138">
        <f t="shared" si="6"/>
        <v>0.153058795524875</v>
      </c>
      <c r="Z28" s="138">
        <f t="shared" si="6"/>
        <v>0.153058795524875</v>
      </c>
      <c r="AA28" s="6">
        <f>SUM(T28:Z28)</f>
        <v>1.1175910497500592</v>
      </c>
      <c r="AB28" s="147">
        <v>2024</v>
      </c>
      <c r="AC28" s="33"/>
    </row>
    <row r="29" spans="1:36" ht="31.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64</v>
      </c>
      <c r="S29" s="147" t="s">
        <v>53</v>
      </c>
      <c r="T29" s="3">
        <f>T119</f>
        <v>2557</v>
      </c>
      <c r="U29" s="3">
        <f t="shared" ref="U29:Y29" si="7">U119</f>
        <v>2009.1</v>
      </c>
      <c r="V29" s="3">
        <f t="shared" si="7"/>
        <v>2736</v>
      </c>
      <c r="W29" s="3">
        <f t="shared" si="7"/>
        <v>2009.1</v>
      </c>
      <c r="X29" s="3">
        <f t="shared" si="7"/>
        <v>2009.1</v>
      </c>
      <c r="Y29" s="3">
        <f t="shared" si="7"/>
        <v>2009.1</v>
      </c>
      <c r="Z29" s="3">
        <f t="shared" ref="Z29" si="8">Z119</f>
        <v>2009.1</v>
      </c>
      <c r="AA29" s="5">
        <f>SUM(Y29)</f>
        <v>2009.1</v>
      </c>
      <c r="AB29" s="147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8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65</v>
      </c>
      <c r="S30" s="147" t="s">
        <v>51</v>
      </c>
      <c r="T30" s="45">
        <f>T116</f>
        <v>2400</v>
      </c>
      <c r="U30" s="45">
        <f t="shared" ref="U30:Y30" si="9">U116</f>
        <v>2400</v>
      </c>
      <c r="V30" s="45">
        <f t="shared" si="9"/>
        <v>2400</v>
      </c>
      <c r="W30" s="45">
        <f t="shared" si="9"/>
        <v>2400</v>
      </c>
      <c r="X30" s="45">
        <f t="shared" si="9"/>
        <v>2400</v>
      </c>
      <c r="Y30" s="45">
        <f t="shared" si="9"/>
        <v>2400</v>
      </c>
      <c r="Z30" s="45">
        <f t="shared" ref="Z30" si="10">Z116</f>
        <v>2400</v>
      </c>
      <c r="AA30" s="46">
        <f>SUM(T30:Z30)</f>
        <v>16800</v>
      </c>
      <c r="AB30" s="147">
        <v>2024</v>
      </c>
      <c r="AC30" s="33"/>
    </row>
    <row r="31" spans="1:36" ht="33" customHeight="1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 t="s">
        <v>36</v>
      </c>
      <c r="S31" s="51" t="s">
        <v>270</v>
      </c>
      <c r="T31" s="50">
        <f>T41+T50+T56+T67+T75+T97+T100+T110+T113+T121+T124+T126+T133</f>
        <v>325992.60000000003</v>
      </c>
      <c r="U31" s="50">
        <f t="shared" ref="U31:Y31" si="11">U41+U50+U56+U67+U75+U97+U100+U110+U113+U121+U124+U126+U133</f>
        <v>328573.5</v>
      </c>
      <c r="V31" s="50">
        <f t="shared" si="11"/>
        <v>387403.9</v>
      </c>
      <c r="W31" s="50">
        <f t="shared" si="11"/>
        <v>209134</v>
      </c>
      <c r="X31" s="50">
        <f t="shared" si="11"/>
        <v>209134</v>
      </c>
      <c r="Y31" s="50">
        <f t="shared" si="11"/>
        <v>209134</v>
      </c>
      <c r="Z31" s="50">
        <f t="shared" ref="Z31" si="12">Z41+Z50+Z56+Z67+Z75+Z97+Z100+Z110+Z113+Z121+Z124+Z126+Z133</f>
        <v>209134</v>
      </c>
      <c r="AA31" s="50">
        <f>SUM(T31:Z31)</f>
        <v>1878506</v>
      </c>
      <c r="AB31" s="51">
        <v>2024</v>
      </c>
      <c r="AC31" s="119"/>
    </row>
    <row r="32" spans="1:36" ht="31.15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52" t="s">
        <v>66</v>
      </c>
      <c r="S32" s="147" t="s">
        <v>53</v>
      </c>
      <c r="T32" s="4">
        <f>T47+T132</f>
        <v>89.6</v>
      </c>
      <c r="U32" s="4">
        <f>U47+U132</f>
        <v>58.4</v>
      </c>
      <c r="V32" s="4">
        <f>V47+V132</f>
        <v>64.3</v>
      </c>
      <c r="W32" s="4">
        <f>W47+W132</f>
        <v>64.3</v>
      </c>
      <c r="X32" s="4">
        <f>X47+X132</f>
        <v>64.3</v>
      </c>
      <c r="Y32" s="4">
        <f t="shared" ref="Y32:Z32" si="13">Y47+Y132</f>
        <v>64.3</v>
      </c>
      <c r="Z32" s="4">
        <f t="shared" si="13"/>
        <v>64.3</v>
      </c>
      <c r="AA32" s="5">
        <f>SUM(T32:Z32)</f>
        <v>469.50000000000006</v>
      </c>
      <c r="AB32" s="147">
        <v>2024</v>
      </c>
      <c r="AC32" s="33"/>
    </row>
    <row r="33" spans="1:31" s="55" customFormat="1" ht="47.25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 t="s">
        <v>67</v>
      </c>
      <c r="S33" s="42" t="s">
        <v>39</v>
      </c>
      <c r="T33" s="2">
        <f>T46+T131</f>
        <v>5</v>
      </c>
      <c r="U33" s="2">
        <f>U46+U131</f>
        <v>6</v>
      </c>
      <c r="V33" s="2">
        <f>V46+V131</f>
        <v>3</v>
      </c>
      <c r="W33" s="2">
        <f>W46+W131</f>
        <v>3</v>
      </c>
      <c r="X33" s="2">
        <f>X46+X131</f>
        <v>3</v>
      </c>
      <c r="Y33" s="45">
        <f>Y131</f>
        <v>3</v>
      </c>
      <c r="Z33" s="45">
        <f>Z131</f>
        <v>3</v>
      </c>
      <c r="AA33" s="46">
        <f>SUM(T33:Z33)</f>
        <v>26</v>
      </c>
      <c r="AB33" s="147">
        <v>2024</v>
      </c>
      <c r="AC33" s="33"/>
      <c r="AD33" s="54"/>
    </row>
    <row r="34" spans="1:31" s="55" customFormat="1" ht="31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 t="s">
        <v>68</v>
      </c>
      <c r="S34" s="42" t="s">
        <v>9</v>
      </c>
      <c r="T34" s="56">
        <v>100</v>
      </c>
      <c r="U34" s="56">
        <v>100</v>
      </c>
      <c r="V34" s="56">
        <v>100</v>
      </c>
      <c r="W34" s="56">
        <v>100</v>
      </c>
      <c r="X34" s="56">
        <v>100</v>
      </c>
      <c r="Y34" s="56">
        <v>100</v>
      </c>
      <c r="Z34" s="56">
        <v>100</v>
      </c>
      <c r="AA34" s="57">
        <v>100</v>
      </c>
      <c r="AB34" s="147">
        <v>2024</v>
      </c>
      <c r="AC34" s="33"/>
      <c r="AD34" s="54"/>
    </row>
    <row r="35" spans="1:31" ht="48" customHeight="1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35" t="s">
        <v>69</v>
      </c>
      <c r="S35" s="147" t="s">
        <v>51</v>
      </c>
      <c r="T35" s="45">
        <f t="shared" ref="T35:Y35" si="14">T116</f>
        <v>2400</v>
      </c>
      <c r="U35" s="45">
        <f t="shared" si="14"/>
        <v>2400</v>
      </c>
      <c r="V35" s="45">
        <f t="shared" si="14"/>
        <v>2400</v>
      </c>
      <c r="W35" s="45">
        <f t="shared" si="14"/>
        <v>2400</v>
      </c>
      <c r="X35" s="45">
        <f t="shared" si="14"/>
        <v>2400</v>
      </c>
      <c r="Y35" s="45">
        <f t="shared" si="14"/>
        <v>2400</v>
      </c>
      <c r="Z35" s="45">
        <f t="shared" ref="Z35" si="15">Z116</f>
        <v>2400</v>
      </c>
      <c r="AA35" s="46">
        <f>SUM(T35:Z35)</f>
        <v>16800</v>
      </c>
      <c r="AB35" s="147">
        <v>2024</v>
      </c>
      <c r="AC35" s="33"/>
    </row>
    <row r="36" spans="1:31" ht="31.5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5" t="s">
        <v>70</v>
      </c>
      <c r="S36" s="147" t="s">
        <v>39</v>
      </c>
      <c r="T36" s="45">
        <f t="shared" ref="T36:Y36" si="16">T57</f>
        <v>10</v>
      </c>
      <c r="U36" s="45">
        <f t="shared" si="16"/>
        <v>10</v>
      </c>
      <c r="V36" s="45">
        <f t="shared" si="16"/>
        <v>10</v>
      </c>
      <c r="W36" s="45">
        <f t="shared" si="16"/>
        <v>10</v>
      </c>
      <c r="X36" s="45">
        <f t="shared" si="16"/>
        <v>10</v>
      </c>
      <c r="Y36" s="45">
        <f t="shared" si="16"/>
        <v>10</v>
      </c>
      <c r="Z36" s="45">
        <f t="shared" ref="Z36" si="17">Z57</f>
        <v>10</v>
      </c>
      <c r="AA36" s="53">
        <v>10</v>
      </c>
      <c r="AB36" s="147">
        <v>2024</v>
      </c>
      <c r="AC36" s="33"/>
    </row>
    <row r="37" spans="1:31" ht="47.45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52" t="s">
        <v>71</v>
      </c>
      <c r="S37" s="147" t="s">
        <v>39</v>
      </c>
      <c r="T37" s="45">
        <f t="shared" ref="T37:Y37" si="18">T68</f>
        <v>20</v>
      </c>
      <c r="U37" s="2">
        <f t="shared" si="18"/>
        <v>20</v>
      </c>
      <c r="V37" s="2">
        <f t="shared" si="18"/>
        <v>20</v>
      </c>
      <c r="W37" s="2">
        <f t="shared" si="18"/>
        <v>20</v>
      </c>
      <c r="X37" s="2">
        <f t="shared" si="18"/>
        <v>20</v>
      </c>
      <c r="Y37" s="2">
        <f t="shared" si="18"/>
        <v>20</v>
      </c>
      <c r="Z37" s="2">
        <f t="shared" ref="Z37" si="19">Z68</f>
        <v>20</v>
      </c>
      <c r="AA37" s="53">
        <v>20</v>
      </c>
      <c r="AB37" s="147">
        <v>2024</v>
      </c>
      <c r="AC37" s="33"/>
    </row>
    <row r="38" spans="1:31" s="55" customFormat="1" ht="6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52" t="s">
        <v>72</v>
      </c>
      <c r="S38" s="42" t="s">
        <v>39</v>
      </c>
      <c r="T38" s="45">
        <f>T78</f>
        <v>25</v>
      </c>
      <c r="U38" s="45">
        <f>U78</f>
        <v>54</v>
      </c>
      <c r="V38" s="45">
        <f t="shared" ref="V38:Y38" si="20">V78</f>
        <v>54</v>
      </c>
      <c r="W38" s="45">
        <f t="shared" si="20"/>
        <v>54</v>
      </c>
      <c r="X38" s="45">
        <f t="shared" si="20"/>
        <v>54</v>
      </c>
      <c r="Y38" s="45">
        <f t="shared" si="20"/>
        <v>54</v>
      </c>
      <c r="Z38" s="45">
        <f t="shared" ref="Z38" si="21">Z78</f>
        <v>54</v>
      </c>
      <c r="AA38" s="53">
        <f>SUM(T38:Y38)</f>
        <v>295</v>
      </c>
      <c r="AB38" s="147">
        <v>2024</v>
      </c>
      <c r="AC38" s="119"/>
      <c r="AD38" s="54"/>
    </row>
    <row r="39" spans="1:31" s="55" customFormat="1" ht="63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 t="s">
        <v>73</v>
      </c>
      <c r="S39" s="60" t="s">
        <v>42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62">
        <v>1</v>
      </c>
      <c r="AB39" s="63">
        <v>2024</v>
      </c>
      <c r="AC39" s="33"/>
      <c r="AD39" s="54"/>
    </row>
    <row r="40" spans="1:31" ht="31.5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 t="s">
        <v>74</v>
      </c>
      <c r="S40" s="42" t="s">
        <v>39</v>
      </c>
      <c r="T40" s="45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46">
        <f>SUM(T40:Y40)</f>
        <v>35</v>
      </c>
      <c r="AB40" s="147">
        <v>2024</v>
      </c>
      <c r="AC40" s="130"/>
      <c r="AD40" s="110"/>
      <c r="AE40" s="8"/>
    </row>
    <row r="41" spans="1:3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65" t="s">
        <v>75</v>
      </c>
      <c r="S41" s="60" t="s">
        <v>0</v>
      </c>
      <c r="T41" s="64">
        <f t="shared" ref="T41:Y41" si="22">T42+T43+T44+T45</f>
        <v>85389.599999999991</v>
      </c>
      <c r="U41" s="64">
        <f t="shared" si="22"/>
        <v>0</v>
      </c>
      <c r="V41" s="64">
        <f t="shared" si="22"/>
        <v>0</v>
      </c>
      <c r="W41" s="64">
        <f t="shared" si="22"/>
        <v>0</v>
      </c>
      <c r="X41" s="64">
        <f t="shared" si="22"/>
        <v>0</v>
      </c>
      <c r="Y41" s="64">
        <f t="shared" si="22"/>
        <v>0</v>
      </c>
      <c r="Z41" s="64">
        <f t="shared" ref="Z41" si="23">Z42+Z43+Z44+Z45</f>
        <v>0</v>
      </c>
      <c r="AA41" s="64">
        <f>SUM(T41:Y41)</f>
        <v>85389.599999999991</v>
      </c>
      <c r="AB41" s="63">
        <v>2018</v>
      </c>
      <c r="AC41" s="134"/>
      <c r="AD41" s="65"/>
      <c r="AE41" s="8"/>
    </row>
    <row r="42" spans="1:31" ht="16.899999999999999" hidden="1" customHeight="1" x14ac:dyDescent="0.25">
      <c r="A42" s="58" t="s">
        <v>19</v>
      </c>
      <c r="B42" s="58" t="s">
        <v>20</v>
      </c>
      <c r="C42" s="58" t="s">
        <v>21</v>
      </c>
      <c r="D42" s="58" t="s">
        <v>19</v>
      </c>
      <c r="E42" s="58" t="s">
        <v>22</v>
      </c>
      <c r="F42" s="58" t="s">
        <v>19</v>
      </c>
      <c r="G42" s="58" t="s">
        <v>23</v>
      </c>
      <c r="H42" s="58" t="s">
        <v>20</v>
      </c>
      <c r="I42" s="58" t="s">
        <v>25</v>
      </c>
      <c r="J42" s="58" t="s">
        <v>19</v>
      </c>
      <c r="K42" s="58" t="s">
        <v>19</v>
      </c>
      <c r="L42" s="58" t="s">
        <v>20</v>
      </c>
      <c r="M42" s="58" t="s">
        <v>45</v>
      </c>
      <c r="N42" s="58" t="s">
        <v>22</v>
      </c>
      <c r="O42" s="58" t="s">
        <v>22</v>
      </c>
      <c r="P42" s="58" t="s">
        <v>22</v>
      </c>
      <c r="Q42" s="58" t="s">
        <v>46</v>
      </c>
      <c r="R42" s="167"/>
      <c r="S42" s="60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4">
        <f>SUM(T42:Y42)</f>
        <v>0</v>
      </c>
      <c r="AB42" s="63">
        <v>2022</v>
      </c>
      <c r="AD42" s="65"/>
      <c r="AE42" s="8"/>
    </row>
    <row r="43" spans="1:31" ht="16.899999999999999" hidden="1" customHeight="1" x14ac:dyDescent="0.25">
      <c r="A43" s="58" t="s">
        <v>19</v>
      </c>
      <c r="B43" s="58" t="s">
        <v>20</v>
      </c>
      <c r="C43" s="58" t="s">
        <v>21</v>
      </c>
      <c r="D43" s="58" t="s">
        <v>19</v>
      </c>
      <c r="E43" s="58" t="s">
        <v>22</v>
      </c>
      <c r="F43" s="58" t="s">
        <v>19</v>
      </c>
      <c r="G43" s="58" t="s">
        <v>23</v>
      </c>
      <c r="H43" s="58" t="s">
        <v>20</v>
      </c>
      <c r="I43" s="58" t="s">
        <v>25</v>
      </c>
      <c r="J43" s="58" t="s">
        <v>19</v>
      </c>
      <c r="K43" s="58" t="s">
        <v>19</v>
      </c>
      <c r="L43" s="58" t="s">
        <v>20</v>
      </c>
      <c r="M43" s="58" t="s">
        <v>45</v>
      </c>
      <c r="N43" s="58" t="s">
        <v>22</v>
      </c>
      <c r="O43" s="58" t="s">
        <v>22</v>
      </c>
      <c r="P43" s="58" t="s">
        <v>22</v>
      </c>
      <c r="Q43" s="58" t="s">
        <v>46</v>
      </c>
      <c r="R43" s="167"/>
      <c r="S43" s="60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4">
        <f>SUM(T43:Y43)</f>
        <v>0</v>
      </c>
      <c r="AB43" s="63">
        <v>2022</v>
      </c>
      <c r="AD43" s="65"/>
      <c r="AE43" s="8"/>
    </row>
    <row r="44" spans="1:31" ht="16.899999999999999" customHeight="1" x14ac:dyDescent="0.25">
      <c r="A44" s="58" t="s">
        <v>19</v>
      </c>
      <c r="B44" s="58" t="s">
        <v>20</v>
      </c>
      <c r="C44" s="58" t="s">
        <v>21</v>
      </c>
      <c r="D44" s="58" t="s">
        <v>19</v>
      </c>
      <c r="E44" s="58" t="s">
        <v>22</v>
      </c>
      <c r="F44" s="58" t="s">
        <v>19</v>
      </c>
      <c r="G44" s="58" t="s">
        <v>23</v>
      </c>
      <c r="H44" s="58" t="s">
        <v>20</v>
      </c>
      <c r="I44" s="58" t="s">
        <v>25</v>
      </c>
      <c r="J44" s="58" t="s">
        <v>19</v>
      </c>
      <c r="K44" s="58" t="s">
        <v>19</v>
      </c>
      <c r="L44" s="58" t="s">
        <v>20</v>
      </c>
      <c r="M44" s="58" t="s">
        <v>41</v>
      </c>
      <c r="N44" s="58" t="s">
        <v>22</v>
      </c>
      <c r="O44" s="58" t="s">
        <v>22</v>
      </c>
      <c r="P44" s="58" t="s">
        <v>22</v>
      </c>
      <c r="Q44" s="58" t="s">
        <v>19</v>
      </c>
      <c r="R44" s="167"/>
      <c r="S44" s="60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4">
        <f>SUM(T44:Y44)</f>
        <v>83674.399999999994</v>
      </c>
      <c r="AB44" s="63">
        <v>2018</v>
      </c>
      <c r="AC44" s="132"/>
      <c r="AD44" s="110"/>
      <c r="AE44" s="110"/>
    </row>
    <row r="45" spans="1:31" ht="16.899999999999999" customHeight="1" x14ac:dyDescent="0.25">
      <c r="A45" s="58" t="s">
        <v>19</v>
      </c>
      <c r="B45" s="58" t="s">
        <v>20</v>
      </c>
      <c r="C45" s="58" t="s">
        <v>21</v>
      </c>
      <c r="D45" s="58" t="s">
        <v>19</v>
      </c>
      <c r="E45" s="58" t="s">
        <v>22</v>
      </c>
      <c r="F45" s="58" t="s">
        <v>19</v>
      </c>
      <c r="G45" s="58" t="s">
        <v>23</v>
      </c>
      <c r="H45" s="58" t="s">
        <v>20</v>
      </c>
      <c r="I45" s="58" t="s">
        <v>25</v>
      </c>
      <c r="J45" s="58" t="s">
        <v>19</v>
      </c>
      <c r="K45" s="58" t="s">
        <v>19</v>
      </c>
      <c r="L45" s="58" t="s">
        <v>20</v>
      </c>
      <c r="M45" s="58" t="s">
        <v>19</v>
      </c>
      <c r="N45" s="58" t="s">
        <v>19</v>
      </c>
      <c r="O45" s="58" t="s">
        <v>19</v>
      </c>
      <c r="P45" s="58" t="s">
        <v>19</v>
      </c>
      <c r="Q45" s="58" t="s">
        <v>19</v>
      </c>
      <c r="R45" s="166"/>
      <c r="S45" s="60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4">
        <f>T45+U45+V45+W45+X45+Y45</f>
        <v>1715.2000000000003</v>
      </c>
      <c r="AB45" s="63">
        <v>2018</v>
      </c>
      <c r="AC45" s="132"/>
      <c r="AD45" s="112"/>
      <c r="AE45" s="112"/>
    </row>
    <row r="46" spans="1:31" s="77" customFormat="1" ht="47.25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66" t="s">
        <v>76</v>
      </c>
      <c r="S46" s="67" t="s">
        <v>39</v>
      </c>
      <c r="T46" s="2">
        <v>5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53">
        <f>T46</f>
        <v>5</v>
      </c>
      <c r="AB46" s="78">
        <v>2018</v>
      </c>
      <c r="AC46" s="33"/>
      <c r="AD46" s="103"/>
      <c r="AE46" s="103"/>
    </row>
    <row r="47" spans="1:31" s="77" customFormat="1" ht="32.450000000000003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66" t="s">
        <v>77</v>
      </c>
      <c r="S47" s="67" t="s">
        <v>53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8">
        <v>2018</v>
      </c>
      <c r="AC47" s="33"/>
      <c r="AD47" s="103"/>
      <c r="AE47" s="103"/>
    </row>
    <row r="48" spans="1:31" ht="47.25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146" t="s">
        <v>78</v>
      </c>
      <c r="S48" s="60" t="s">
        <v>42</v>
      </c>
      <c r="T48" s="61">
        <v>0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62">
        <v>1</v>
      </c>
      <c r="AB48" s="63">
        <v>2024</v>
      </c>
      <c r="AC48" s="33"/>
      <c r="AD48" s="112"/>
      <c r="AE48" s="112"/>
    </row>
    <row r="49" spans="1:34" s="55" customFormat="1" ht="31.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1" t="s">
        <v>79</v>
      </c>
      <c r="S49" s="56" t="s">
        <v>39</v>
      </c>
      <c r="T49" s="45">
        <v>0</v>
      </c>
      <c r="U49" s="45">
        <v>1</v>
      </c>
      <c r="V49" s="45">
        <v>1</v>
      </c>
      <c r="W49" s="45">
        <v>1</v>
      </c>
      <c r="X49" s="45">
        <v>1</v>
      </c>
      <c r="Y49" s="45">
        <v>1</v>
      </c>
      <c r="Z49" s="45">
        <v>1</v>
      </c>
      <c r="AA49" s="46">
        <f>SUM(T49:Z49)</f>
        <v>6</v>
      </c>
      <c r="AB49" s="42">
        <v>2024</v>
      </c>
      <c r="AC49" s="33"/>
      <c r="AD49" s="54"/>
    </row>
    <row r="50" spans="1:34" ht="24.6" hidden="1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68" t="s">
        <v>80</v>
      </c>
      <c r="S50" s="68" t="s">
        <v>0</v>
      </c>
      <c r="T50" s="1"/>
      <c r="U50" s="1">
        <f t="shared" ref="U50:Z50" si="24">U52</f>
        <v>0</v>
      </c>
      <c r="V50" s="1">
        <f t="shared" si="24"/>
        <v>0</v>
      </c>
      <c r="W50" s="1">
        <f t="shared" si="24"/>
        <v>0</v>
      </c>
      <c r="X50" s="1">
        <f t="shared" si="24"/>
        <v>0</v>
      </c>
      <c r="Y50" s="1">
        <f t="shared" si="24"/>
        <v>0</v>
      </c>
      <c r="Z50" s="1">
        <f t="shared" si="24"/>
        <v>0</v>
      </c>
      <c r="AA50" s="64">
        <f>T50+U50+V50+W50+X50+Y50</f>
        <v>0</v>
      </c>
      <c r="AB50" s="63">
        <v>2018</v>
      </c>
    </row>
    <row r="51" spans="1:34" ht="22.15" hidden="1" customHeight="1" x14ac:dyDescent="0.25">
      <c r="A51" s="58" t="s">
        <v>19</v>
      </c>
      <c r="B51" s="58" t="s">
        <v>19</v>
      </c>
      <c r="C51" s="58" t="s">
        <v>24</v>
      </c>
      <c r="D51" s="58" t="s">
        <v>19</v>
      </c>
      <c r="E51" s="58" t="s">
        <v>22</v>
      </c>
      <c r="F51" s="58" t="s">
        <v>19</v>
      </c>
      <c r="G51" s="58" t="s">
        <v>23</v>
      </c>
      <c r="H51" s="58" t="s">
        <v>20</v>
      </c>
      <c r="I51" s="58" t="s">
        <v>25</v>
      </c>
      <c r="J51" s="58" t="s">
        <v>19</v>
      </c>
      <c r="K51" s="58" t="s">
        <v>19</v>
      </c>
      <c r="L51" s="58" t="s">
        <v>20</v>
      </c>
      <c r="M51" s="58" t="s">
        <v>19</v>
      </c>
      <c r="N51" s="58" t="s">
        <v>19</v>
      </c>
      <c r="O51" s="58" t="s">
        <v>19</v>
      </c>
      <c r="P51" s="58" t="s">
        <v>19</v>
      </c>
      <c r="Q51" s="58" t="s">
        <v>19</v>
      </c>
      <c r="R51" s="169"/>
      <c r="S51" s="60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4">
        <f>T51+U51+V51+W51+X51+Y51</f>
        <v>0</v>
      </c>
      <c r="AB51" s="63">
        <v>2018</v>
      </c>
    </row>
    <row r="52" spans="1:34" ht="20.45" hidden="1" customHeight="1" x14ac:dyDescent="0.25">
      <c r="A52" s="58" t="s">
        <v>19</v>
      </c>
      <c r="B52" s="58" t="s">
        <v>19</v>
      </c>
      <c r="C52" s="58" t="s">
        <v>24</v>
      </c>
      <c r="D52" s="58" t="s">
        <v>19</v>
      </c>
      <c r="E52" s="58" t="s">
        <v>22</v>
      </c>
      <c r="F52" s="58" t="s">
        <v>19</v>
      </c>
      <c r="G52" s="58" t="s">
        <v>23</v>
      </c>
      <c r="H52" s="58" t="s">
        <v>20</v>
      </c>
      <c r="I52" s="58" t="s">
        <v>25</v>
      </c>
      <c r="J52" s="58" t="s">
        <v>19</v>
      </c>
      <c r="K52" s="58" t="s">
        <v>19</v>
      </c>
      <c r="L52" s="58" t="s">
        <v>20</v>
      </c>
      <c r="M52" s="58" t="s">
        <v>20</v>
      </c>
      <c r="N52" s="58" t="s">
        <v>19</v>
      </c>
      <c r="O52" s="58" t="s">
        <v>24</v>
      </c>
      <c r="P52" s="58" t="s">
        <v>20</v>
      </c>
      <c r="Q52" s="58" t="s">
        <v>46</v>
      </c>
      <c r="R52" s="169"/>
      <c r="S52" s="68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4">
        <f>T52+U52+V52+W52+X52+Y52</f>
        <v>0</v>
      </c>
      <c r="AB52" s="63">
        <v>2018</v>
      </c>
    </row>
    <row r="53" spans="1:34" ht="21" hidden="1" customHeight="1" x14ac:dyDescent="0.25">
      <c r="A53" s="58" t="s">
        <v>19</v>
      </c>
      <c r="B53" s="58" t="s">
        <v>19</v>
      </c>
      <c r="C53" s="58" t="s">
        <v>24</v>
      </c>
      <c r="D53" s="58" t="s">
        <v>19</v>
      </c>
      <c r="E53" s="58" t="s">
        <v>22</v>
      </c>
      <c r="F53" s="58" t="s">
        <v>19</v>
      </c>
      <c r="G53" s="58" t="s">
        <v>23</v>
      </c>
      <c r="H53" s="58" t="s">
        <v>20</v>
      </c>
      <c r="I53" s="58" t="s">
        <v>25</v>
      </c>
      <c r="J53" s="58" t="s">
        <v>19</v>
      </c>
      <c r="K53" s="58" t="s">
        <v>19</v>
      </c>
      <c r="L53" s="58" t="s">
        <v>20</v>
      </c>
      <c r="M53" s="58" t="s">
        <v>38</v>
      </c>
      <c r="N53" s="58" t="s">
        <v>19</v>
      </c>
      <c r="O53" s="58" t="s">
        <v>24</v>
      </c>
      <c r="P53" s="58" t="s">
        <v>20</v>
      </c>
      <c r="Q53" s="58" t="s">
        <v>48</v>
      </c>
      <c r="R53" s="170"/>
      <c r="S53" s="68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4">
        <f>T53+U53+V53+W53+X53+Y53</f>
        <v>0</v>
      </c>
      <c r="AB53" s="62">
        <v>2018</v>
      </c>
    </row>
    <row r="54" spans="1:34" ht="36" hidden="1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1" t="s">
        <v>81</v>
      </c>
      <c r="S54" s="42" t="s">
        <v>51</v>
      </c>
      <c r="T54" s="45"/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53"/>
      <c r="AB54" s="2">
        <v>2018</v>
      </c>
      <c r="AD54" s="112"/>
      <c r="AE54" s="112"/>
    </row>
    <row r="55" spans="1:34" ht="41.45" hidden="1" customHeight="1" x14ac:dyDescent="0.25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9" t="s">
        <v>82</v>
      </c>
      <c r="S55" s="70" t="s">
        <v>9</v>
      </c>
      <c r="T55" s="71">
        <v>100</v>
      </c>
      <c r="U55" s="71">
        <v>0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2">
        <v>100</v>
      </c>
      <c r="AB55" s="23">
        <v>2023</v>
      </c>
      <c r="AC55" s="124"/>
      <c r="AD55" s="110"/>
    </row>
    <row r="56" spans="1:34" ht="34.9" customHeight="1" x14ac:dyDescent="0.25">
      <c r="A56" s="58"/>
      <c r="B56" s="58"/>
      <c r="C56" s="58"/>
      <c r="D56" s="58" t="s">
        <v>19</v>
      </c>
      <c r="E56" s="58" t="s">
        <v>22</v>
      </c>
      <c r="F56" s="58" t="s">
        <v>19</v>
      </c>
      <c r="G56" s="58" t="s">
        <v>23</v>
      </c>
      <c r="H56" s="58" t="s">
        <v>20</v>
      </c>
      <c r="I56" s="58" t="s">
        <v>25</v>
      </c>
      <c r="J56" s="58" t="s">
        <v>19</v>
      </c>
      <c r="K56" s="58" t="s">
        <v>19</v>
      </c>
      <c r="L56" s="58" t="s">
        <v>20</v>
      </c>
      <c r="M56" s="58" t="s">
        <v>19</v>
      </c>
      <c r="N56" s="58" t="s">
        <v>19</v>
      </c>
      <c r="O56" s="58" t="s">
        <v>19</v>
      </c>
      <c r="P56" s="58" t="s">
        <v>19</v>
      </c>
      <c r="Q56" s="58" t="s">
        <v>19</v>
      </c>
      <c r="R56" s="73" t="s">
        <v>83</v>
      </c>
      <c r="S56" s="63" t="s">
        <v>0</v>
      </c>
      <c r="T56" s="64">
        <f t="shared" ref="T56:Y56" si="25">T58+T60+T65+T62</f>
        <v>5077.4000000000005</v>
      </c>
      <c r="U56" s="64">
        <f t="shared" si="25"/>
        <v>3889.9</v>
      </c>
      <c r="V56" s="64">
        <f t="shared" si="25"/>
        <v>3500</v>
      </c>
      <c r="W56" s="64">
        <f t="shared" si="25"/>
        <v>3500</v>
      </c>
      <c r="X56" s="64">
        <f t="shared" si="25"/>
        <v>3500</v>
      </c>
      <c r="Y56" s="64">
        <f t="shared" si="25"/>
        <v>3500</v>
      </c>
      <c r="Z56" s="64">
        <f t="shared" ref="Z56" si="26">Z58+Z60+Z65+Z62</f>
        <v>3500</v>
      </c>
      <c r="AA56" s="64">
        <f>SUM(T56:Z56)</f>
        <v>26467.300000000003</v>
      </c>
      <c r="AB56" s="63">
        <v>2024</v>
      </c>
      <c r="AC56" s="129"/>
    </row>
    <row r="57" spans="1:34" ht="31.5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66" t="s">
        <v>84</v>
      </c>
      <c r="S57" s="147" t="s">
        <v>39</v>
      </c>
      <c r="T57" s="2">
        <f t="shared" ref="T57:Y57" si="27">T59+T61+T63+T66</f>
        <v>10</v>
      </c>
      <c r="U57" s="2">
        <f t="shared" si="27"/>
        <v>10</v>
      </c>
      <c r="V57" s="2">
        <f t="shared" si="27"/>
        <v>10</v>
      </c>
      <c r="W57" s="2">
        <f t="shared" si="27"/>
        <v>10</v>
      </c>
      <c r="X57" s="2">
        <f t="shared" si="27"/>
        <v>10</v>
      </c>
      <c r="Y57" s="2">
        <f t="shared" si="27"/>
        <v>10</v>
      </c>
      <c r="Z57" s="2">
        <f t="shared" ref="Z57" si="28">Z59+Z61+Z63+Z66</f>
        <v>10</v>
      </c>
      <c r="AA57" s="46">
        <v>10</v>
      </c>
      <c r="AB57" s="42">
        <v>2024</v>
      </c>
      <c r="AC57" s="135"/>
      <c r="AD57" s="113"/>
      <c r="AE57" s="125"/>
      <c r="AF57" s="114"/>
      <c r="AG57" s="125"/>
      <c r="AH57" s="114"/>
    </row>
    <row r="58" spans="1:34" s="77" customFormat="1" ht="31.5" x14ac:dyDescent="0.25">
      <c r="A58" s="58" t="s">
        <v>19</v>
      </c>
      <c r="B58" s="58" t="s">
        <v>19</v>
      </c>
      <c r="C58" s="58" t="s">
        <v>23</v>
      </c>
      <c r="D58" s="58" t="s">
        <v>19</v>
      </c>
      <c r="E58" s="58" t="s">
        <v>22</v>
      </c>
      <c r="F58" s="58" t="s">
        <v>19</v>
      </c>
      <c r="G58" s="58" t="s">
        <v>23</v>
      </c>
      <c r="H58" s="58" t="s">
        <v>20</v>
      </c>
      <c r="I58" s="58" t="s">
        <v>25</v>
      </c>
      <c r="J58" s="58" t="s">
        <v>19</v>
      </c>
      <c r="K58" s="58" t="s">
        <v>19</v>
      </c>
      <c r="L58" s="58" t="s">
        <v>20</v>
      </c>
      <c r="M58" s="58" t="s">
        <v>19</v>
      </c>
      <c r="N58" s="58" t="s">
        <v>19</v>
      </c>
      <c r="O58" s="58" t="s">
        <v>19</v>
      </c>
      <c r="P58" s="58" t="s">
        <v>19</v>
      </c>
      <c r="Q58" s="58" t="s">
        <v>19</v>
      </c>
      <c r="R58" s="74" t="s">
        <v>85</v>
      </c>
      <c r="S58" s="60" t="s">
        <v>0</v>
      </c>
      <c r="T58" s="1">
        <f>1417.5-141.8-26.5</f>
        <v>1249.2</v>
      </c>
      <c r="U58" s="1">
        <v>1000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4">
        <f>SUM(T58:Z58)</f>
        <v>7249.2</v>
      </c>
      <c r="AB58" s="63">
        <v>2024</v>
      </c>
      <c r="AC58" s="127"/>
      <c r="AD58" s="76"/>
      <c r="AE58" s="76"/>
    </row>
    <row r="59" spans="1:34" s="55" customFormat="1" ht="47.25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52" t="s">
        <v>86</v>
      </c>
      <c r="S59" s="42" t="s">
        <v>39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6">
        <v>3</v>
      </c>
      <c r="AB59" s="42">
        <v>2024</v>
      </c>
      <c r="AC59" s="135"/>
      <c r="AD59" s="113"/>
      <c r="AE59" s="113"/>
    </row>
    <row r="60" spans="1:34" s="77" customFormat="1" ht="31.5" x14ac:dyDescent="0.25">
      <c r="A60" s="58" t="s">
        <v>19</v>
      </c>
      <c r="B60" s="58" t="s">
        <v>19</v>
      </c>
      <c r="C60" s="58" t="s">
        <v>25</v>
      </c>
      <c r="D60" s="58" t="s">
        <v>19</v>
      </c>
      <c r="E60" s="58" t="s">
        <v>22</v>
      </c>
      <c r="F60" s="58" t="s">
        <v>19</v>
      </c>
      <c r="G60" s="58" t="s">
        <v>23</v>
      </c>
      <c r="H60" s="58" t="s">
        <v>20</v>
      </c>
      <c r="I60" s="58" t="s">
        <v>25</v>
      </c>
      <c r="J60" s="58" t="s">
        <v>19</v>
      </c>
      <c r="K60" s="58" t="s">
        <v>19</v>
      </c>
      <c r="L60" s="58" t="s">
        <v>20</v>
      </c>
      <c r="M60" s="58" t="s">
        <v>19</v>
      </c>
      <c r="N60" s="58" t="s">
        <v>19</v>
      </c>
      <c r="O60" s="58" t="s">
        <v>19</v>
      </c>
      <c r="P60" s="58" t="s">
        <v>19</v>
      </c>
      <c r="Q60" s="58" t="s">
        <v>19</v>
      </c>
      <c r="R60" s="74" t="s">
        <v>87</v>
      </c>
      <c r="S60" s="60" t="s">
        <v>0</v>
      </c>
      <c r="T60" s="1">
        <f>1115-77.4</f>
        <v>1037.5999999999999</v>
      </c>
      <c r="U60" s="1">
        <v>1100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4">
        <f>SUM(T60:Z60)</f>
        <v>7637.6</v>
      </c>
      <c r="AB60" s="63">
        <v>2024</v>
      </c>
      <c r="AC60" s="33"/>
      <c r="AD60" s="76"/>
      <c r="AE60" s="76"/>
    </row>
    <row r="61" spans="1:34" s="55" customFormat="1" ht="47.25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52" t="s">
        <v>88</v>
      </c>
      <c r="S61" s="42" t="s">
        <v>39</v>
      </c>
      <c r="T61" s="45">
        <v>4</v>
      </c>
      <c r="U61" s="45">
        <v>4</v>
      </c>
      <c r="V61" s="45">
        <v>4</v>
      </c>
      <c r="W61" s="45">
        <v>4</v>
      </c>
      <c r="X61" s="45">
        <v>4</v>
      </c>
      <c r="Y61" s="45">
        <v>4</v>
      </c>
      <c r="Z61" s="45">
        <v>4</v>
      </c>
      <c r="AA61" s="53">
        <v>4</v>
      </c>
      <c r="AB61" s="42">
        <v>2024</v>
      </c>
      <c r="AC61" s="136"/>
      <c r="AD61" s="121"/>
      <c r="AE61" s="115"/>
    </row>
    <row r="62" spans="1:34" s="77" customFormat="1" ht="31.5" x14ac:dyDescent="0.25">
      <c r="A62" s="58" t="s">
        <v>19</v>
      </c>
      <c r="B62" s="58" t="s">
        <v>19</v>
      </c>
      <c r="C62" s="58" t="s">
        <v>22</v>
      </c>
      <c r="D62" s="58" t="s">
        <v>19</v>
      </c>
      <c r="E62" s="58" t="s">
        <v>22</v>
      </c>
      <c r="F62" s="58" t="s">
        <v>19</v>
      </c>
      <c r="G62" s="58" t="s">
        <v>23</v>
      </c>
      <c r="H62" s="58" t="s">
        <v>20</v>
      </c>
      <c r="I62" s="58" t="s">
        <v>25</v>
      </c>
      <c r="J62" s="58" t="s">
        <v>19</v>
      </c>
      <c r="K62" s="58" t="s">
        <v>19</v>
      </c>
      <c r="L62" s="58" t="s">
        <v>20</v>
      </c>
      <c r="M62" s="58" t="s">
        <v>19</v>
      </c>
      <c r="N62" s="58" t="s">
        <v>19</v>
      </c>
      <c r="O62" s="58" t="s">
        <v>19</v>
      </c>
      <c r="P62" s="58" t="s">
        <v>19</v>
      </c>
      <c r="Q62" s="58" t="s">
        <v>19</v>
      </c>
      <c r="R62" s="74" t="s">
        <v>87</v>
      </c>
      <c r="S62" s="60" t="s">
        <v>0</v>
      </c>
      <c r="T62" s="1">
        <f>962.3-96.3-88.8</f>
        <v>777.2</v>
      </c>
      <c r="U62" s="1">
        <v>800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4">
        <f>SUM(T62:Z62)</f>
        <v>5577.2</v>
      </c>
      <c r="AB62" s="63">
        <v>2024</v>
      </c>
      <c r="AC62" s="129"/>
    </row>
    <row r="63" spans="1:34" s="77" customFormat="1" ht="48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52" t="s">
        <v>89</v>
      </c>
      <c r="S63" s="42" t="s">
        <v>39</v>
      </c>
      <c r="T63" s="45">
        <v>2</v>
      </c>
      <c r="U63" s="45">
        <v>2</v>
      </c>
      <c r="V63" s="45">
        <v>2</v>
      </c>
      <c r="W63" s="45">
        <v>2</v>
      </c>
      <c r="X63" s="45">
        <v>2</v>
      </c>
      <c r="Y63" s="45">
        <v>2</v>
      </c>
      <c r="Z63" s="45">
        <v>2</v>
      </c>
      <c r="AA63" s="53">
        <v>2</v>
      </c>
      <c r="AB63" s="42">
        <v>2024</v>
      </c>
      <c r="AC63" s="33"/>
    </row>
    <row r="64" spans="1:34" s="55" customFormat="1" ht="47.25" hidden="1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9" t="s">
        <v>90</v>
      </c>
      <c r="S64" s="70" t="s">
        <v>8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2">
        <f>T64+U64+V64+W64+X64+Y64</f>
        <v>0</v>
      </c>
      <c r="AB64" s="23">
        <v>2023</v>
      </c>
      <c r="AC64" s="136"/>
      <c r="AD64" s="110"/>
      <c r="AE64" s="113"/>
    </row>
    <row r="65" spans="1:34" s="77" customFormat="1" ht="31.5" x14ac:dyDescent="0.25">
      <c r="A65" s="58" t="s">
        <v>19</v>
      </c>
      <c r="B65" s="58" t="s">
        <v>19</v>
      </c>
      <c r="C65" s="58" t="s">
        <v>26</v>
      </c>
      <c r="D65" s="58" t="s">
        <v>19</v>
      </c>
      <c r="E65" s="58" t="s">
        <v>22</v>
      </c>
      <c r="F65" s="58" t="s">
        <v>19</v>
      </c>
      <c r="G65" s="58" t="s">
        <v>23</v>
      </c>
      <c r="H65" s="58" t="s">
        <v>20</v>
      </c>
      <c r="I65" s="58" t="s">
        <v>25</v>
      </c>
      <c r="J65" s="58" t="s">
        <v>19</v>
      </c>
      <c r="K65" s="58" t="s">
        <v>19</v>
      </c>
      <c r="L65" s="58" t="s">
        <v>20</v>
      </c>
      <c r="M65" s="58" t="s">
        <v>19</v>
      </c>
      <c r="N65" s="58" t="s">
        <v>19</v>
      </c>
      <c r="O65" s="58" t="s">
        <v>19</v>
      </c>
      <c r="P65" s="58" t="s">
        <v>19</v>
      </c>
      <c r="Q65" s="58" t="s">
        <v>19</v>
      </c>
      <c r="R65" s="74" t="s">
        <v>91</v>
      </c>
      <c r="S65" s="60" t="s">
        <v>0</v>
      </c>
      <c r="T65" s="1">
        <f>646.8+300+1489-55+86.2-453.6</f>
        <v>2013.4</v>
      </c>
      <c r="U65" s="1">
        <f>600+369.3+0.6+20</f>
        <v>989.9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4">
        <f>SUM(T65:Z65)</f>
        <v>6003.3</v>
      </c>
      <c r="AB65" s="63">
        <v>2024</v>
      </c>
      <c r="AC65" s="129"/>
    </row>
    <row r="66" spans="1:34" s="77" customFormat="1" ht="47.25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52" t="s">
        <v>92</v>
      </c>
      <c r="S66" s="42" t="s">
        <v>39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53">
        <v>1</v>
      </c>
      <c r="AB66" s="42">
        <v>2024</v>
      </c>
      <c r="AC66" s="33"/>
    </row>
    <row r="67" spans="1:34" s="77" customFormat="1" ht="31.5" x14ac:dyDescent="0.25">
      <c r="A67" s="58"/>
      <c r="B67" s="58"/>
      <c r="C67" s="58"/>
      <c r="D67" s="58" t="s">
        <v>19</v>
      </c>
      <c r="E67" s="58" t="s">
        <v>22</v>
      </c>
      <c r="F67" s="58" t="s">
        <v>19</v>
      </c>
      <c r="G67" s="58" t="s">
        <v>23</v>
      </c>
      <c r="H67" s="58" t="s">
        <v>20</v>
      </c>
      <c r="I67" s="58" t="s">
        <v>25</v>
      </c>
      <c r="J67" s="58" t="s">
        <v>19</v>
      </c>
      <c r="K67" s="58" t="s">
        <v>19</v>
      </c>
      <c r="L67" s="58" t="s">
        <v>20</v>
      </c>
      <c r="M67" s="58" t="s">
        <v>19</v>
      </c>
      <c r="N67" s="58" t="s">
        <v>19</v>
      </c>
      <c r="O67" s="58" t="s">
        <v>19</v>
      </c>
      <c r="P67" s="58" t="s">
        <v>19</v>
      </c>
      <c r="Q67" s="58" t="s">
        <v>19</v>
      </c>
      <c r="R67" s="73" t="s">
        <v>93</v>
      </c>
      <c r="S67" s="63" t="s">
        <v>0</v>
      </c>
      <c r="T67" s="64">
        <f t="shared" ref="T67:Y68" si="29">T69+T71+T73</f>
        <v>3922.5999999999995</v>
      </c>
      <c r="U67" s="64">
        <f t="shared" si="29"/>
        <v>6100.2</v>
      </c>
      <c r="V67" s="64">
        <f t="shared" si="29"/>
        <v>6362.6</v>
      </c>
      <c r="W67" s="64">
        <f t="shared" si="29"/>
        <v>6362.6</v>
      </c>
      <c r="X67" s="64">
        <f t="shared" si="29"/>
        <v>6362.6</v>
      </c>
      <c r="Y67" s="64">
        <f t="shared" si="29"/>
        <v>6362.6</v>
      </c>
      <c r="Z67" s="64">
        <f t="shared" ref="Z67" si="30">Z69+Z71+Z73</f>
        <v>6362.6</v>
      </c>
      <c r="AA67" s="64">
        <f>SUM(T67:Z67)</f>
        <v>41835.799999999996</v>
      </c>
      <c r="AB67" s="63">
        <v>2024</v>
      </c>
      <c r="AC67" s="129"/>
    </row>
    <row r="68" spans="1:34" s="55" customFormat="1" ht="47.25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66" t="s">
        <v>94</v>
      </c>
      <c r="S68" s="147" t="s">
        <v>39</v>
      </c>
      <c r="T68" s="2">
        <f t="shared" si="29"/>
        <v>20</v>
      </c>
      <c r="U68" s="2">
        <f t="shared" si="29"/>
        <v>20</v>
      </c>
      <c r="V68" s="2">
        <f t="shared" si="29"/>
        <v>20</v>
      </c>
      <c r="W68" s="2">
        <f t="shared" si="29"/>
        <v>20</v>
      </c>
      <c r="X68" s="2">
        <f t="shared" si="29"/>
        <v>20</v>
      </c>
      <c r="Y68" s="2">
        <f t="shared" si="29"/>
        <v>20</v>
      </c>
      <c r="Z68" s="2">
        <f t="shared" ref="Z68" si="31">Z70+Z72+Z74</f>
        <v>20</v>
      </c>
      <c r="AA68" s="53">
        <v>20</v>
      </c>
      <c r="AB68" s="42">
        <v>2024</v>
      </c>
      <c r="AC68" s="33"/>
    </row>
    <row r="69" spans="1:34" s="77" customFormat="1" ht="31.5" x14ac:dyDescent="0.25">
      <c r="A69" s="58" t="s">
        <v>19</v>
      </c>
      <c r="B69" s="58" t="s">
        <v>19</v>
      </c>
      <c r="C69" s="58" t="s">
        <v>23</v>
      </c>
      <c r="D69" s="58" t="s">
        <v>19</v>
      </c>
      <c r="E69" s="58" t="s">
        <v>22</v>
      </c>
      <c r="F69" s="58" t="s">
        <v>19</v>
      </c>
      <c r="G69" s="58" t="s">
        <v>23</v>
      </c>
      <c r="H69" s="58" t="s">
        <v>20</v>
      </c>
      <c r="I69" s="58" t="s">
        <v>25</v>
      </c>
      <c r="J69" s="58" t="s">
        <v>19</v>
      </c>
      <c r="K69" s="58" t="s">
        <v>19</v>
      </c>
      <c r="L69" s="58" t="s">
        <v>20</v>
      </c>
      <c r="M69" s="58" t="s">
        <v>19</v>
      </c>
      <c r="N69" s="58" t="s">
        <v>19</v>
      </c>
      <c r="O69" s="58" t="s">
        <v>19</v>
      </c>
      <c r="P69" s="58" t="s">
        <v>19</v>
      </c>
      <c r="Q69" s="58" t="s">
        <v>19</v>
      </c>
      <c r="R69" s="74" t="s">
        <v>95</v>
      </c>
      <c r="S69" s="60" t="s">
        <v>0</v>
      </c>
      <c r="T69" s="1">
        <f>2867.4-463.9-79-1000</f>
        <v>1324.5</v>
      </c>
      <c r="U69" s="1">
        <v>1867.4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4">
        <f>SUM(T69:Z69)</f>
        <v>12528.9</v>
      </c>
      <c r="AB69" s="63">
        <v>2024</v>
      </c>
      <c r="AC69" s="128"/>
      <c r="AD69" s="117"/>
      <c r="AE69" s="117"/>
      <c r="AG69" s="118"/>
      <c r="AH69" s="117"/>
    </row>
    <row r="70" spans="1:34" s="55" customFormat="1" ht="47.25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52" t="s">
        <v>96</v>
      </c>
      <c r="S70" s="42" t="s">
        <v>39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3">
        <v>14</v>
      </c>
      <c r="AB70" s="42">
        <v>2024</v>
      </c>
      <c r="AC70" s="33"/>
    </row>
    <row r="71" spans="1:34" s="77" customFormat="1" ht="31.5" x14ac:dyDescent="0.25">
      <c r="A71" s="58" t="s">
        <v>19</v>
      </c>
      <c r="B71" s="58" t="s">
        <v>19</v>
      </c>
      <c r="C71" s="58" t="s">
        <v>25</v>
      </c>
      <c r="D71" s="58" t="s">
        <v>19</v>
      </c>
      <c r="E71" s="58" t="s">
        <v>22</v>
      </c>
      <c r="F71" s="58" t="s">
        <v>19</v>
      </c>
      <c r="G71" s="58" t="s">
        <v>23</v>
      </c>
      <c r="H71" s="58" t="s">
        <v>20</v>
      </c>
      <c r="I71" s="58" t="s">
        <v>25</v>
      </c>
      <c r="J71" s="58" t="s">
        <v>19</v>
      </c>
      <c r="K71" s="58" t="s">
        <v>19</v>
      </c>
      <c r="L71" s="58" t="s">
        <v>20</v>
      </c>
      <c r="M71" s="58" t="s">
        <v>19</v>
      </c>
      <c r="N71" s="58" t="s">
        <v>19</v>
      </c>
      <c r="O71" s="58" t="s">
        <v>19</v>
      </c>
      <c r="P71" s="58" t="s">
        <v>19</v>
      </c>
      <c r="Q71" s="58" t="s">
        <v>19</v>
      </c>
      <c r="R71" s="74" t="s">
        <v>95</v>
      </c>
      <c r="S71" s="60" t="s">
        <v>0</v>
      </c>
      <c r="T71" s="1">
        <f>808-306.2</f>
        <v>501.8</v>
      </c>
      <c r="U71" s="1">
        <f>870.5+140</f>
        <v>1010.5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4">
        <f>SUM(T71:Z71)</f>
        <v>5864.8</v>
      </c>
      <c r="AB71" s="63">
        <v>2024</v>
      </c>
      <c r="AC71" s="129"/>
    </row>
    <row r="72" spans="1:34" s="55" customFormat="1" ht="48" customHeight="1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52" t="s">
        <v>97</v>
      </c>
      <c r="S72" s="42" t="s">
        <v>39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46">
        <v>1</v>
      </c>
      <c r="AB72" s="42">
        <v>2024</v>
      </c>
      <c r="AC72" s="136"/>
      <c r="AD72" s="117"/>
      <c r="AE72" s="54"/>
    </row>
    <row r="73" spans="1:34" s="77" customFormat="1" ht="31.5" x14ac:dyDescent="0.25">
      <c r="A73" s="58" t="s">
        <v>19</v>
      </c>
      <c r="B73" s="58" t="s">
        <v>19</v>
      </c>
      <c r="C73" s="58" t="s">
        <v>22</v>
      </c>
      <c r="D73" s="58" t="s">
        <v>19</v>
      </c>
      <c r="E73" s="58" t="s">
        <v>22</v>
      </c>
      <c r="F73" s="58" t="s">
        <v>19</v>
      </c>
      <c r="G73" s="58" t="s">
        <v>23</v>
      </c>
      <c r="H73" s="58" t="s">
        <v>20</v>
      </c>
      <c r="I73" s="58" t="s">
        <v>25</v>
      </c>
      <c r="J73" s="58" t="s">
        <v>19</v>
      </c>
      <c r="K73" s="58" t="s">
        <v>19</v>
      </c>
      <c r="L73" s="58" t="s">
        <v>20</v>
      </c>
      <c r="M73" s="58" t="s">
        <v>19</v>
      </c>
      <c r="N73" s="58" t="s">
        <v>19</v>
      </c>
      <c r="O73" s="58" t="s">
        <v>19</v>
      </c>
      <c r="P73" s="58" t="s">
        <v>19</v>
      </c>
      <c r="Q73" s="58" t="s">
        <v>19</v>
      </c>
      <c r="R73" s="74" t="s">
        <v>98</v>
      </c>
      <c r="S73" s="60" t="s">
        <v>0</v>
      </c>
      <c r="T73" s="1">
        <f>3665-832.4-710-26.3</f>
        <v>2096.2999999999997</v>
      </c>
      <c r="U73" s="1">
        <f>3624.7-120.3-282.1</f>
        <v>3222.2999999999997</v>
      </c>
      <c r="V73" s="1">
        <v>3624.7</v>
      </c>
      <c r="W73" s="1">
        <v>3624.7</v>
      </c>
      <c r="X73" s="1">
        <v>3624.7</v>
      </c>
      <c r="Y73" s="1">
        <v>3624.7</v>
      </c>
      <c r="Z73" s="1">
        <v>3624.7</v>
      </c>
      <c r="AA73" s="64">
        <f>SUM(T73:Z73)</f>
        <v>23442.100000000002</v>
      </c>
      <c r="AB73" s="63">
        <v>2024</v>
      </c>
      <c r="AC73" s="129"/>
    </row>
    <row r="74" spans="1:34" s="77" customFormat="1" ht="48" customHeight="1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52" t="s">
        <v>99</v>
      </c>
      <c r="S74" s="42" t="s">
        <v>39</v>
      </c>
      <c r="T74" s="45">
        <v>5</v>
      </c>
      <c r="U74" s="45">
        <v>5</v>
      </c>
      <c r="V74" s="45">
        <v>5</v>
      </c>
      <c r="W74" s="45">
        <v>5</v>
      </c>
      <c r="X74" s="45">
        <v>5</v>
      </c>
      <c r="Y74" s="45">
        <v>5</v>
      </c>
      <c r="Z74" s="45">
        <v>5</v>
      </c>
      <c r="AA74" s="53">
        <v>5</v>
      </c>
      <c r="AB74" s="42">
        <v>2024</v>
      </c>
      <c r="AC74" s="132"/>
      <c r="AD74" s="117"/>
    </row>
    <row r="75" spans="1:34" s="77" customFormat="1" ht="31.5" x14ac:dyDescent="0.25">
      <c r="A75" s="58"/>
      <c r="B75" s="58"/>
      <c r="C75" s="58"/>
      <c r="D75" s="58" t="s">
        <v>19</v>
      </c>
      <c r="E75" s="58" t="s">
        <v>22</v>
      </c>
      <c r="F75" s="58" t="s">
        <v>19</v>
      </c>
      <c r="G75" s="58" t="s">
        <v>23</v>
      </c>
      <c r="H75" s="58" t="s">
        <v>20</v>
      </c>
      <c r="I75" s="58" t="s">
        <v>25</v>
      </c>
      <c r="J75" s="58" t="s">
        <v>19</v>
      </c>
      <c r="K75" s="58" t="s">
        <v>19</v>
      </c>
      <c r="L75" s="58" t="s">
        <v>20</v>
      </c>
      <c r="M75" s="58" t="s">
        <v>19</v>
      </c>
      <c r="N75" s="58" t="s">
        <v>19</v>
      </c>
      <c r="O75" s="58" t="s">
        <v>19</v>
      </c>
      <c r="P75" s="58" t="s">
        <v>19</v>
      </c>
      <c r="Q75" s="58" t="s">
        <v>19</v>
      </c>
      <c r="R75" s="73" t="s">
        <v>100</v>
      </c>
      <c r="S75" s="63" t="s">
        <v>0</v>
      </c>
      <c r="T75" s="64">
        <f t="shared" ref="T75:Y75" si="32">T79+T83+T87+T91+T95</f>
        <v>4566.3999999999996</v>
      </c>
      <c r="U75" s="64">
        <f>U79+U83+U87+U91+U95</f>
        <v>7438.5</v>
      </c>
      <c r="V75" s="64">
        <f t="shared" si="32"/>
        <v>7800</v>
      </c>
      <c r="W75" s="64">
        <f t="shared" si="32"/>
        <v>7800</v>
      </c>
      <c r="X75" s="64">
        <f t="shared" si="32"/>
        <v>7800</v>
      </c>
      <c r="Y75" s="64">
        <f t="shared" si="32"/>
        <v>7800</v>
      </c>
      <c r="Z75" s="64">
        <f t="shared" ref="Z75" si="33">Z79+Z83+Z87+Z91+Z95</f>
        <v>7800</v>
      </c>
      <c r="AA75" s="64">
        <f>SUM(T75:Z75)</f>
        <v>51004.9</v>
      </c>
      <c r="AB75" s="63">
        <v>2024</v>
      </c>
      <c r="AC75" s="129"/>
    </row>
    <row r="76" spans="1:34" s="77" customFormat="1" ht="47.25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66" t="s">
        <v>101</v>
      </c>
      <c r="S76" s="147" t="s">
        <v>39</v>
      </c>
      <c r="T76" s="45">
        <f t="shared" ref="T76:Y77" si="34">T80+T84+T88+T92</f>
        <v>65</v>
      </c>
      <c r="U76" s="45">
        <f t="shared" si="34"/>
        <v>182</v>
      </c>
      <c r="V76" s="45">
        <f t="shared" si="34"/>
        <v>182</v>
      </c>
      <c r="W76" s="45">
        <f t="shared" si="34"/>
        <v>183</v>
      </c>
      <c r="X76" s="45">
        <f t="shared" si="34"/>
        <v>182</v>
      </c>
      <c r="Y76" s="45">
        <f t="shared" si="34"/>
        <v>182</v>
      </c>
      <c r="Z76" s="45">
        <f t="shared" ref="Z76" si="35">Z80+Z84+Z88+Z92</f>
        <v>182</v>
      </c>
      <c r="AA76" s="53">
        <f>SUM(T76:Z76)</f>
        <v>1158</v>
      </c>
      <c r="AB76" s="147">
        <v>2024</v>
      </c>
      <c r="AC76" s="33"/>
    </row>
    <row r="77" spans="1:34" s="77" customFormat="1" ht="31.5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66" t="s">
        <v>102</v>
      </c>
      <c r="S77" s="147" t="s">
        <v>39</v>
      </c>
      <c r="T77" s="45">
        <f t="shared" si="34"/>
        <v>16</v>
      </c>
      <c r="U77" s="45">
        <f t="shared" si="34"/>
        <v>17</v>
      </c>
      <c r="V77" s="45">
        <f t="shared" si="34"/>
        <v>17</v>
      </c>
      <c r="W77" s="45">
        <f t="shared" si="34"/>
        <v>17</v>
      </c>
      <c r="X77" s="45">
        <f t="shared" si="34"/>
        <v>17</v>
      </c>
      <c r="Y77" s="45">
        <f t="shared" si="34"/>
        <v>17</v>
      </c>
      <c r="Z77" s="45">
        <f t="shared" ref="Z77" si="36">Z81+Z85+Z89+Z93</f>
        <v>17</v>
      </c>
      <c r="AA77" s="53">
        <v>17</v>
      </c>
      <c r="AB77" s="147">
        <v>2024</v>
      </c>
      <c r="AC77" s="33"/>
    </row>
    <row r="78" spans="1:34" ht="63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66" t="s">
        <v>103</v>
      </c>
      <c r="S78" s="147" t="s">
        <v>39</v>
      </c>
      <c r="T78" s="45">
        <f>T82+T86+T90+T96+T94</f>
        <v>25</v>
      </c>
      <c r="U78" s="45">
        <f>U82+U86+U90+U96+U94</f>
        <v>54</v>
      </c>
      <c r="V78" s="45">
        <f>V82+V86+V90+V96+V94</f>
        <v>54</v>
      </c>
      <c r="W78" s="45">
        <f t="shared" ref="W78:Y78" si="37">W82+W86+W90+W96+W94</f>
        <v>54</v>
      </c>
      <c r="X78" s="45">
        <f t="shared" si="37"/>
        <v>54</v>
      </c>
      <c r="Y78" s="45">
        <f t="shared" si="37"/>
        <v>54</v>
      </c>
      <c r="Z78" s="45">
        <f t="shared" ref="Z78" si="38">Z82+Z86+Z90+Z96+Z94</f>
        <v>54</v>
      </c>
      <c r="AA78" s="53">
        <f>SUM(T78:Z78)</f>
        <v>349</v>
      </c>
      <c r="AB78" s="147">
        <v>2024</v>
      </c>
      <c r="AC78" s="132"/>
      <c r="AD78" s="110"/>
    </row>
    <row r="79" spans="1:34" ht="31.5" x14ac:dyDescent="0.25">
      <c r="A79" s="58" t="s">
        <v>19</v>
      </c>
      <c r="B79" s="58" t="s">
        <v>19</v>
      </c>
      <c r="C79" s="58" t="s">
        <v>23</v>
      </c>
      <c r="D79" s="58" t="s">
        <v>19</v>
      </c>
      <c r="E79" s="58" t="s">
        <v>22</v>
      </c>
      <c r="F79" s="58" t="s">
        <v>19</v>
      </c>
      <c r="G79" s="58" t="s">
        <v>23</v>
      </c>
      <c r="H79" s="58" t="s">
        <v>20</v>
      </c>
      <c r="I79" s="58" t="s">
        <v>25</v>
      </c>
      <c r="J79" s="58" t="s">
        <v>19</v>
      </c>
      <c r="K79" s="58" t="s">
        <v>19</v>
      </c>
      <c r="L79" s="58" t="s">
        <v>20</v>
      </c>
      <c r="M79" s="58" t="s">
        <v>19</v>
      </c>
      <c r="N79" s="58" t="s">
        <v>19</v>
      </c>
      <c r="O79" s="58" t="s">
        <v>19</v>
      </c>
      <c r="P79" s="58" t="s">
        <v>19</v>
      </c>
      <c r="Q79" s="58" t="s">
        <v>19</v>
      </c>
      <c r="R79" s="74" t="s">
        <v>104</v>
      </c>
      <c r="S79" s="60" t="s">
        <v>0</v>
      </c>
      <c r="T79" s="1">
        <f>1780.9-223.4+140-15.2</f>
        <v>1682.3</v>
      </c>
      <c r="U79" s="1">
        <v>1650</v>
      </c>
      <c r="V79" s="1">
        <v>1650</v>
      </c>
      <c r="W79" s="1">
        <v>1650</v>
      </c>
      <c r="X79" s="1">
        <v>1650</v>
      </c>
      <c r="Y79" s="1">
        <v>1650</v>
      </c>
      <c r="Z79" s="1">
        <v>1650</v>
      </c>
      <c r="AA79" s="64">
        <f>SUM(T79:Z79)</f>
        <v>11582.3</v>
      </c>
      <c r="AB79" s="63">
        <v>2024</v>
      </c>
      <c r="AC79" s="129"/>
    </row>
    <row r="80" spans="1:34" ht="46.15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66" t="s">
        <v>105</v>
      </c>
      <c r="S80" s="147" t="s">
        <v>39</v>
      </c>
      <c r="T80" s="2">
        <v>33</v>
      </c>
      <c r="U80" s="2">
        <v>33</v>
      </c>
      <c r="V80" s="2">
        <v>33</v>
      </c>
      <c r="W80" s="2">
        <v>33</v>
      </c>
      <c r="X80" s="2">
        <v>33</v>
      </c>
      <c r="Y80" s="2">
        <v>33</v>
      </c>
      <c r="Z80" s="2">
        <v>33</v>
      </c>
      <c r="AA80" s="53">
        <f>SUM(T80:Z80)</f>
        <v>231</v>
      </c>
      <c r="AB80" s="42">
        <v>2024</v>
      </c>
      <c r="AC80" s="33"/>
    </row>
    <row r="81" spans="1:30" ht="47.25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6" t="s">
        <v>106</v>
      </c>
      <c r="S81" s="147" t="s">
        <v>39</v>
      </c>
      <c r="T81" s="2">
        <v>4</v>
      </c>
      <c r="U81" s="2">
        <v>4</v>
      </c>
      <c r="V81" s="2">
        <v>4</v>
      </c>
      <c r="W81" s="2">
        <v>4</v>
      </c>
      <c r="X81" s="2">
        <v>4</v>
      </c>
      <c r="Y81" s="2">
        <v>4</v>
      </c>
      <c r="Z81" s="2">
        <v>4</v>
      </c>
      <c r="AA81" s="46">
        <v>4</v>
      </c>
      <c r="AB81" s="42">
        <v>2024</v>
      </c>
      <c r="AC81" s="33"/>
    </row>
    <row r="82" spans="1:30" ht="63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66" t="s">
        <v>295</v>
      </c>
      <c r="S82" s="147" t="s">
        <v>39</v>
      </c>
      <c r="T82" s="45">
        <v>0</v>
      </c>
      <c r="U82" s="45">
        <v>13</v>
      </c>
      <c r="V82" s="45">
        <v>13</v>
      </c>
      <c r="W82" s="45">
        <v>13</v>
      </c>
      <c r="X82" s="45">
        <v>13</v>
      </c>
      <c r="Y82" s="45">
        <v>13</v>
      </c>
      <c r="Z82" s="45">
        <v>13</v>
      </c>
      <c r="AA82" s="53">
        <f>SUM(T82:Z82)</f>
        <v>78</v>
      </c>
      <c r="AB82" s="42">
        <v>2024</v>
      </c>
      <c r="AC82" s="132"/>
      <c r="AD82" s="110"/>
    </row>
    <row r="83" spans="1:30" ht="31.5" x14ac:dyDescent="0.25">
      <c r="A83" s="58" t="s">
        <v>19</v>
      </c>
      <c r="B83" s="58" t="s">
        <v>19</v>
      </c>
      <c r="C83" s="58" t="s">
        <v>25</v>
      </c>
      <c r="D83" s="58" t="s">
        <v>19</v>
      </c>
      <c r="E83" s="58" t="s">
        <v>22</v>
      </c>
      <c r="F83" s="58" t="s">
        <v>19</v>
      </c>
      <c r="G83" s="58" t="s">
        <v>23</v>
      </c>
      <c r="H83" s="58" t="s">
        <v>20</v>
      </c>
      <c r="I83" s="58" t="s">
        <v>25</v>
      </c>
      <c r="J83" s="58" t="s">
        <v>19</v>
      </c>
      <c r="K83" s="58" t="s">
        <v>19</v>
      </c>
      <c r="L83" s="58" t="s">
        <v>20</v>
      </c>
      <c r="M83" s="58" t="s">
        <v>19</v>
      </c>
      <c r="N83" s="58" t="s">
        <v>19</v>
      </c>
      <c r="O83" s="58" t="s">
        <v>19</v>
      </c>
      <c r="P83" s="58" t="s">
        <v>19</v>
      </c>
      <c r="Q83" s="58" t="s">
        <v>19</v>
      </c>
      <c r="R83" s="74" t="s">
        <v>107</v>
      </c>
      <c r="S83" s="60" t="s">
        <v>0</v>
      </c>
      <c r="T83" s="1">
        <f>1051.4-28.4-48.1</f>
        <v>974.90000000000009</v>
      </c>
      <c r="U83" s="1">
        <f>1450</f>
        <v>1450</v>
      </c>
      <c r="V83" s="1">
        <v>1450</v>
      </c>
      <c r="W83" s="1">
        <v>1450</v>
      </c>
      <c r="X83" s="1">
        <v>1450</v>
      </c>
      <c r="Y83" s="1">
        <v>1450</v>
      </c>
      <c r="Z83" s="1">
        <v>1450</v>
      </c>
      <c r="AA83" s="64">
        <f>SUM(T83:Z83)</f>
        <v>9674.9</v>
      </c>
      <c r="AB83" s="63">
        <v>2024</v>
      </c>
      <c r="AC83" s="128"/>
      <c r="AD83" s="117"/>
    </row>
    <row r="84" spans="1:30" ht="48" customHeight="1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6" t="s">
        <v>277</v>
      </c>
      <c r="S84" s="147" t="s">
        <v>39</v>
      </c>
      <c r="T84" s="45">
        <v>4</v>
      </c>
      <c r="U84" s="45">
        <v>8</v>
      </c>
      <c r="V84" s="45">
        <v>8</v>
      </c>
      <c r="W84" s="45">
        <v>8</v>
      </c>
      <c r="X84" s="45">
        <v>8</v>
      </c>
      <c r="Y84" s="45">
        <v>8</v>
      </c>
      <c r="Z84" s="45">
        <v>8</v>
      </c>
      <c r="AA84" s="53">
        <f>SUM(T84:Z84)</f>
        <v>52</v>
      </c>
      <c r="AB84" s="42">
        <v>2024</v>
      </c>
      <c r="AC84" s="33"/>
    </row>
    <row r="85" spans="1:30" s="8" customFormat="1" ht="47.25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6" t="s">
        <v>278</v>
      </c>
      <c r="S85" s="147" t="s">
        <v>39</v>
      </c>
      <c r="T85" s="45">
        <v>5</v>
      </c>
      <c r="U85" s="45">
        <v>5</v>
      </c>
      <c r="V85" s="45">
        <v>5</v>
      </c>
      <c r="W85" s="45">
        <v>5</v>
      </c>
      <c r="X85" s="45">
        <v>5</v>
      </c>
      <c r="Y85" s="45">
        <v>5</v>
      </c>
      <c r="Z85" s="45">
        <v>5</v>
      </c>
      <c r="AA85" s="53">
        <v>5</v>
      </c>
      <c r="AB85" s="42">
        <v>2024</v>
      </c>
      <c r="AC85" s="132"/>
      <c r="AD85" s="110"/>
    </row>
    <row r="86" spans="1:30" ht="63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6" t="s">
        <v>296</v>
      </c>
      <c r="S86" s="147" t="s">
        <v>39</v>
      </c>
      <c r="T86" s="45">
        <v>0</v>
      </c>
      <c r="U86" s="45">
        <v>16</v>
      </c>
      <c r="V86" s="45">
        <v>16</v>
      </c>
      <c r="W86" s="45">
        <v>16</v>
      </c>
      <c r="X86" s="45">
        <v>16</v>
      </c>
      <c r="Y86" s="45">
        <v>16</v>
      </c>
      <c r="Z86" s="45">
        <v>16</v>
      </c>
      <c r="AA86" s="53">
        <f>SUM(T86:Z86)</f>
        <v>96</v>
      </c>
      <c r="AB86" s="42">
        <v>2024</v>
      </c>
      <c r="AC86" s="132"/>
      <c r="AD86" s="110"/>
    </row>
    <row r="87" spans="1:30" ht="31.5" x14ac:dyDescent="0.25">
      <c r="A87" s="58" t="s">
        <v>19</v>
      </c>
      <c r="B87" s="58" t="s">
        <v>19</v>
      </c>
      <c r="C87" s="58" t="s">
        <v>22</v>
      </c>
      <c r="D87" s="58" t="s">
        <v>19</v>
      </c>
      <c r="E87" s="58" t="s">
        <v>22</v>
      </c>
      <c r="F87" s="58" t="s">
        <v>19</v>
      </c>
      <c r="G87" s="58" t="s">
        <v>23</v>
      </c>
      <c r="H87" s="58" t="s">
        <v>20</v>
      </c>
      <c r="I87" s="58" t="s">
        <v>25</v>
      </c>
      <c r="J87" s="58" t="s">
        <v>19</v>
      </c>
      <c r="K87" s="58" t="s">
        <v>19</v>
      </c>
      <c r="L87" s="58" t="s">
        <v>20</v>
      </c>
      <c r="M87" s="58" t="s">
        <v>19</v>
      </c>
      <c r="N87" s="58" t="s">
        <v>19</v>
      </c>
      <c r="O87" s="58" t="s">
        <v>19</v>
      </c>
      <c r="P87" s="58" t="s">
        <v>19</v>
      </c>
      <c r="Q87" s="58" t="s">
        <v>19</v>
      </c>
      <c r="R87" s="74" t="s">
        <v>107</v>
      </c>
      <c r="S87" s="60" t="s">
        <v>0</v>
      </c>
      <c r="T87" s="1">
        <f>1351.9-396.7-310.9-34</f>
        <v>610.30000000000007</v>
      </c>
      <c r="U87" s="1">
        <f>1750-198.6</f>
        <v>1551.4</v>
      </c>
      <c r="V87" s="1">
        <v>1750</v>
      </c>
      <c r="W87" s="1">
        <v>1750</v>
      </c>
      <c r="X87" s="1">
        <v>1750</v>
      </c>
      <c r="Y87" s="1">
        <v>1750</v>
      </c>
      <c r="Z87" s="1">
        <v>1750</v>
      </c>
      <c r="AA87" s="64">
        <f>SUM(T87:Z87)</f>
        <v>10911.7</v>
      </c>
      <c r="AB87" s="63">
        <v>2024</v>
      </c>
      <c r="AC87" s="128"/>
      <c r="AD87" s="110"/>
    </row>
    <row r="88" spans="1:30" ht="55.15" customHeight="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6" t="s">
        <v>279</v>
      </c>
      <c r="S88" s="147" t="s">
        <v>39</v>
      </c>
      <c r="T88" s="2">
        <v>21</v>
      </c>
      <c r="U88" s="2">
        <v>19</v>
      </c>
      <c r="V88" s="2">
        <v>19</v>
      </c>
      <c r="W88" s="2">
        <v>20</v>
      </c>
      <c r="X88" s="2">
        <v>19</v>
      </c>
      <c r="Y88" s="2">
        <v>19</v>
      </c>
      <c r="Z88" s="2">
        <v>19</v>
      </c>
      <c r="AA88" s="53">
        <f>SUM(T88:Z88)</f>
        <v>136</v>
      </c>
      <c r="AB88" s="42">
        <v>2024</v>
      </c>
      <c r="AC88" s="132"/>
      <c r="AD88" s="110"/>
    </row>
    <row r="89" spans="1:30" ht="47.2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6" t="s">
        <v>280</v>
      </c>
      <c r="S89" s="147" t="s">
        <v>39</v>
      </c>
      <c r="T89" s="2">
        <v>4</v>
      </c>
      <c r="U89" s="2">
        <v>5</v>
      </c>
      <c r="V89" s="2">
        <v>5</v>
      </c>
      <c r="W89" s="2">
        <v>5</v>
      </c>
      <c r="X89" s="2">
        <v>5</v>
      </c>
      <c r="Y89" s="2">
        <v>5</v>
      </c>
      <c r="Z89" s="2">
        <v>5</v>
      </c>
      <c r="AA89" s="46">
        <v>5</v>
      </c>
      <c r="AB89" s="42">
        <v>2024</v>
      </c>
      <c r="AC89" s="136"/>
      <c r="AD89" s="110"/>
    </row>
    <row r="90" spans="1:30" ht="63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66" t="s">
        <v>297</v>
      </c>
      <c r="S90" s="147" t="s">
        <v>39</v>
      </c>
      <c r="T90" s="45">
        <v>0</v>
      </c>
      <c r="U90" s="45">
        <v>10</v>
      </c>
      <c r="V90" s="45">
        <v>10</v>
      </c>
      <c r="W90" s="45">
        <v>10</v>
      </c>
      <c r="X90" s="45">
        <v>10</v>
      </c>
      <c r="Y90" s="45">
        <v>10</v>
      </c>
      <c r="Z90" s="45">
        <v>10</v>
      </c>
      <c r="AA90" s="53">
        <f>SUM(T90:Z90)</f>
        <v>60</v>
      </c>
      <c r="AB90" s="42">
        <v>2024</v>
      </c>
      <c r="AC90" s="132"/>
      <c r="AD90" s="110"/>
    </row>
    <row r="91" spans="1:30" ht="31.5" x14ac:dyDescent="0.25">
      <c r="A91" s="58" t="s">
        <v>19</v>
      </c>
      <c r="B91" s="58" t="s">
        <v>19</v>
      </c>
      <c r="C91" s="58" t="s">
        <v>26</v>
      </c>
      <c r="D91" s="58" t="s">
        <v>19</v>
      </c>
      <c r="E91" s="58" t="s">
        <v>22</v>
      </c>
      <c r="F91" s="58" t="s">
        <v>19</v>
      </c>
      <c r="G91" s="58" t="s">
        <v>23</v>
      </c>
      <c r="H91" s="58" t="s">
        <v>20</v>
      </c>
      <c r="I91" s="58" t="s">
        <v>25</v>
      </c>
      <c r="J91" s="58" t="s">
        <v>19</v>
      </c>
      <c r="K91" s="58" t="s">
        <v>19</v>
      </c>
      <c r="L91" s="58" t="s">
        <v>20</v>
      </c>
      <c r="M91" s="58" t="s">
        <v>19</v>
      </c>
      <c r="N91" s="58" t="s">
        <v>19</v>
      </c>
      <c r="O91" s="58" t="s">
        <v>19</v>
      </c>
      <c r="P91" s="58" t="s">
        <v>19</v>
      </c>
      <c r="Q91" s="58" t="s">
        <v>19</v>
      </c>
      <c r="R91" s="74" t="s">
        <v>104</v>
      </c>
      <c r="S91" s="60" t="s">
        <v>0</v>
      </c>
      <c r="T91" s="1">
        <f>4141.3-300-1489-672.7-86.2-669.2</f>
        <v>924.2</v>
      </c>
      <c r="U91" s="1">
        <f>2950-369.3-0.6-50-20</f>
        <v>2510.1</v>
      </c>
      <c r="V91" s="1">
        <v>2950</v>
      </c>
      <c r="W91" s="1">
        <v>2950</v>
      </c>
      <c r="X91" s="1">
        <v>2950</v>
      </c>
      <c r="Y91" s="1">
        <v>2950</v>
      </c>
      <c r="Z91" s="1">
        <v>2950</v>
      </c>
      <c r="AA91" s="64">
        <f>SUM(T91:Z91)</f>
        <v>18184.3</v>
      </c>
      <c r="AB91" s="63">
        <v>2024</v>
      </c>
      <c r="AC91" s="129"/>
    </row>
    <row r="92" spans="1:30" ht="46.9" customHeight="1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 t="s">
        <v>281</v>
      </c>
      <c r="S92" s="147" t="s">
        <v>39</v>
      </c>
      <c r="T92" s="45">
        <v>7</v>
      </c>
      <c r="U92" s="45">
        <v>122</v>
      </c>
      <c r="V92" s="45">
        <v>122</v>
      </c>
      <c r="W92" s="45">
        <v>122</v>
      </c>
      <c r="X92" s="45">
        <v>122</v>
      </c>
      <c r="Y92" s="45">
        <v>122</v>
      </c>
      <c r="Z92" s="45">
        <v>122</v>
      </c>
      <c r="AA92" s="53">
        <f>SUM(T92:Z92)</f>
        <v>739</v>
      </c>
      <c r="AB92" s="42">
        <v>2024</v>
      </c>
      <c r="AC92" s="33"/>
    </row>
    <row r="93" spans="1:30" ht="47.25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1" t="s">
        <v>282</v>
      </c>
      <c r="S93" s="42" t="s">
        <v>39</v>
      </c>
      <c r="T93" s="45">
        <v>3</v>
      </c>
      <c r="U93" s="45">
        <v>3</v>
      </c>
      <c r="V93" s="45">
        <v>3</v>
      </c>
      <c r="W93" s="45">
        <v>3</v>
      </c>
      <c r="X93" s="45">
        <v>3</v>
      </c>
      <c r="Y93" s="45">
        <v>3</v>
      </c>
      <c r="Z93" s="45">
        <v>3</v>
      </c>
      <c r="AA93" s="53">
        <v>3</v>
      </c>
      <c r="AB93" s="42">
        <v>2024</v>
      </c>
      <c r="AC93" s="132"/>
      <c r="AD93" s="110"/>
    </row>
    <row r="94" spans="1:30" ht="63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6" t="s">
        <v>298</v>
      </c>
      <c r="S94" s="147" t="s">
        <v>39</v>
      </c>
      <c r="T94" s="45">
        <v>0</v>
      </c>
      <c r="U94" s="45">
        <v>15</v>
      </c>
      <c r="V94" s="45">
        <v>15</v>
      </c>
      <c r="W94" s="45">
        <v>15</v>
      </c>
      <c r="X94" s="45">
        <v>15</v>
      </c>
      <c r="Y94" s="45">
        <v>15</v>
      </c>
      <c r="Z94" s="45">
        <v>15</v>
      </c>
      <c r="AA94" s="53">
        <f>SUM(T94:Z94)</f>
        <v>90</v>
      </c>
      <c r="AB94" s="42">
        <v>2024</v>
      </c>
      <c r="AC94" s="132"/>
      <c r="AD94" s="110"/>
    </row>
    <row r="95" spans="1:30" ht="31.5" x14ac:dyDescent="0.25">
      <c r="A95" s="58" t="s">
        <v>19</v>
      </c>
      <c r="B95" s="58" t="s">
        <v>20</v>
      </c>
      <c r="C95" s="58" t="s">
        <v>25</v>
      </c>
      <c r="D95" s="58" t="s">
        <v>19</v>
      </c>
      <c r="E95" s="58" t="s">
        <v>22</v>
      </c>
      <c r="F95" s="58" t="s">
        <v>19</v>
      </c>
      <c r="G95" s="58" t="s">
        <v>23</v>
      </c>
      <c r="H95" s="58" t="s">
        <v>20</v>
      </c>
      <c r="I95" s="58" t="s">
        <v>25</v>
      </c>
      <c r="J95" s="58" t="s">
        <v>19</v>
      </c>
      <c r="K95" s="58" t="s">
        <v>19</v>
      </c>
      <c r="L95" s="58" t="s">
        <v>20</v>
      </c>
      <c r="M95" s="58" t="s">
        <v>19</v>
      </c>
      <c r="N95" s="58" t="s">
        <v>19</v>
      </c>
      <c r="O95" s="58" t="s">
        <v>19</v>
      </c>
      <c r="P95" s="58" t="s">
        <v>19</v>
      </c>
      <c r="Q95" s="58" t="s">
        <v>19</v>
      </c>
      <c r="R95" s="74" t="s">
        <v>104</v>
      </c>
      <c r="S95" s="60" t="s">
        <v>0</v>
      </c>
      <c r="T95" s="1">
        <f>236-236+500-125.3</f>
        <v>374.7</v>
      </c>
      <c r="U95" s="1">
        <f>0+229+48</f>
        <v>277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64">
        <f>SUM(T95:Z95)</f>
        <v>651.70000000000005</v>
      </c>
      <c r="AB95" s="63">
        <v>2019</v>
      </c>
      <c r="AC95" s="132"/>
      <c r="AD95" s="110"/>
    </row>
    <row r="96" spans="1:30" ht="63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6" t="s">
        <v>299</v>
      </c>
      <c r="S96" s="147" t="s">
        <v>39</v>
      </c>
      <c r="T96" s="45">
        <v>25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46">
        <f>SUM(T96:Z96)</f>
        <v>25</v>
      </c>
      <c r="AB96" s="42">
        <v>2018</v>
      </c>
      <c r="AC96" s="132"/>
      <c r="AD96" s="110"/>
    </row>
    <row r="97" spans="1:32" ht="31.5" x14ac:dyDescent="0.25">
      <c r="A97" s="58" t="s">
        <v>19</v>
      </c>
      <c r="B97" s="58" t="s">
        <v>20</v>
      </c>
      <c r="C97" s="58" t="s">
        <v>21</v>
      </c>
      <c r="D97" s="58" t="s">
        <v>19</v>
      </c>
      <c r="E97" s="58" t="s">
        <v>22</v>
      </c>
      <c r="F97" s="58" t="s">
        <v>19</v>
      </c>
      <c r="G97" s="58" t="s">
        <v>23</v>
      </c>
      <c r="H97" s="58" t="s">
        <v>20</v>
      </c>
      <c r="I97" s="58" t="s">
        <v>25</v>
      </c>
      <c r="J97" s="58" t="s">
        <v>19</v>
      </c>
      <c r="K97" s="58" t="s">
        <v>19</v>
      </c>
      <c r="L97" s="58" t="s">
        <v>20</v>
      </c>
      <c r="M97" s="58" t="s">
        <v>19</v>
      </c>
      <c r="N97" s="58" t="s">
        <v>19</v>
      </c>
      <c r="O97" s="58" t="s">
        <v>19</v>
      </c>
      <c r="P97" s="58" t="s">
        <v>19</v>
      </c>
      <c r="Q97" s="58" t="s">
        <v>19</v>
      </c>
      <c r="R97" s="145" t="s">
        <v>108</v>
      </c>
      <c r="S97" s="63" t="s">
        <v>0</v>
      </c>
      <c r="T97" s="64">
        <f>99204.4+25748.3-45-48-10</f>
        <v>124849.7</v>
      </c>
      <c r="U97" s="64">
        <v>98382.7</v>
      </c>
      <c r="V97" s="64">
        <v>102745.5</v>
      </c>
      <c r="W97" s="64">
        <v>95888</v>
      </c>
      <c r="X97" s="64">
        <v>95888</v>
      </c>
      <c r="Y97" s="64">
        <v>95888</v>
      </c>
      <c r="Z97" s="64">
        <v>95888</v>
      </c>
      <c r="AA97" s="64">
        <f>SUM(T97:Z97)</f>
        <v>709529.9</v>
      </c>
      <c r="AB97" s="63">
        <v>2024</v>
      </c>
      <c r="AC97" s="128"/>
      <c r="AD97" s="110"/>
    </row>
    <row r="98" spans="1:32" ht="47.45" customHeight="1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66" t="s">
        <v>109</v>
      </c>
      <c r="S98" s="147" t="s">
        <v>51</v>
      </c>
      <c r="T98" s="2">
        <v>21452</v>
      </c>
      <c r="U98" s="2">
        <v>21452</v>
      </c>
      <c r="V98" s="2">
        <v>21452</v>
      </c>
      <c r="W98" s="2">
        <v>21452</v>
      </c>
      <c r="X98" s="2">
        <v>21452</v>
      </c>
      <c r="Y98" s="2">
        <v>21452</v>
      </c>
      <c r="Z98" s="2">
        <v>21452</v>
      </c>
      <c r="AA98" s="53">
        <f>Y98</f>
        <v>21452</v>
      </c>
      <c r="AB98" s="42">
        <v>2024</v>
      </c>
      <c r="AC98" s="132"/>
      <c r="AD98" s="117"/>
      <c r="AE98" s="117"/>
    </row>
    <row r="99" spans="1:32" ht="46.9" customHeight="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6" t="s">
        <v>110</v>
      </c>
      <c r="S99" s="147" t="s">
        <v>9</v>
      </c>
      <c r="T99" s="3">
        <v>95</v>
      </c>
      <c r="U99" s="3">
        <v>95</v>
      </c>
      <c r="V99" s="3">
        <v>95</v>
      </c>
      <c r="W99" s="3">
        <v>95</v>
      </c>
      <c r="X99" s="3">
        <v>95</v>
      </c>
      <c r="Y99" s="3">
        <v>95</v>
      </c>
      <c r="Z99" s="3">
        <v>95</v>
      </c>
      <c r="AA99" s="5">
        <v>95</v>
      </c>
      <c r="AB99" s="42">
        <v>2024</v>
      </c>
      <c r="AC99" s="33"/>
    </row>
    <row r="100" spans="1:32" ht="47.25" x14ac:dyDescent="0.25">
      <c r="A100" s="58"/>
      <c r="B100" s="58"/>
      <c r="C100" s="58"/>
      <c r="D100" s="58" t="s">
        <v>19</v>
      </c>
      <c r="E100" s="58" t="s">
        <v>22</v>
      </c>
      <c r="F100" s="58" t="s">
        <v>19</v>
      </c>
      <c r="G100" s="58" t="s">
        <v>23</v>
      </c>
      <c r="H100" s="58" t="s">
        <v>20</v>
      </c>
      <c r="I100" s="58" t="s">
        <v>25</v>
      </c>
      <c r="J100" s="58" t="s">
        <v>19</v>
      </c>
      <c r="K100" s="58" t="s">
        <v>19</v>
      </c>
      <c r="L100" s="58" t="s">
        <v>20</v>
      </c>
      <c r="M100" s="58" t="s">
        <v>19</v>
      </c>
      <c r="N100" s="58" t="s">
        <v>19</v>
      </c>
      <c r="O100" s="58" t="s">
        <v>19</v>
      </c>
      <c r="P100" s="58" t="s">
        <v>19</v>
      </c>
      <c r="Q100" s="58" t="s">
        <v>19</v>
      </c>
      <c r="R100" s="73" t="s">
        <v>111</v>
      </c>
      <c r="S100" s="63" t="s">
        <v>0</v>
      </c>
      <c r="T100" s="64">
        <f t="shared" ref="T100:Y101" si="39">T102+T104+T106+T108</f>
        <v>1880.0999999999997</v>
      </c>
      <c r="U100" s="64">
        <f t="shared" si="39"/>
        <v>2307.6999999999998</v>
      </c>
      <c r="V100" s="64">
        <f t="shared" si="39"/>
        <v>2397.6999999999998</v>
      </c>
      <c r="W100" s="64">
        <f t="shared" si="39"/>
        <v>2397.6999999999998</v>
      </c>
      <c r="X100" s="64">
        <f t="shared" si="39"/>
        <v>2397.6999999999998</v>
      </c>
      <c r="Y100" s="64">
        <f t="shared" si="39"/>
        <v>2397.6999999999998</v>
      </c>
      <c r="Z100" s="64">
        <f t="shared" ref="Z100" si="40">Z102+Z104+Z106+Z108</f>
        <v>2397.6999999999998</v>
      </c>
      <c r="AA100" s="64">
        <f t="shared" ref="AA100:AA109" si="41">SUM(T100:Z100)</f>
        <v>16176.3</v>
      </c>
      <c r="AB100" s="63">
        <v>2024</v>
      </c>
      <c r="AC100" s="129"/>
    </row>
    <row r="101" spans="1:32" ht="47.25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1" t="s">
        <v>112</v>
      </c>
      <c r="S101" s="42" t="s">
        <v>39</v>
      </c>
      <c r="T101" s="45">
        <f t="shared" si="39"/>
        <v>61</v>
      </c>
      <c r="U101" s="45">
        <f t="shared" si="39"/>
        <v>84</v>
      </c>
      <c r="V101" s="45">
        <f t="shared" si="39"/>
        <v>84</v>
      </c>
      <c r="W101" s="45">
        <f t="shared" si="39"/>
        <v>84</v>
      </c>
      <c r="X101" s="45">
        <f t="shared" si="39"/>
        <v>84</v>
      </c>
      <c r="Y101" s="45">
        <f t="shared" si="39"/>
        <v>84</v>
      </c>
      <c r="Z101" s="45">
        <f t="shared" ref="Z101" si="42">Z103+Z105+Z107+Z109</f>
        <v>84</v>
      </c>
      <c r="AA101" s="53">
        <f t="shared" si="41"/>
        <v>565</v>
      </c>
      <c r="AB101" s="42">
        <v>2024</v>
      </c>
      <c r="AC101" s="132"/>
      <c r="AD101" s="110"/>
    </row>
    <row r="102" spans="1:32" ht="47.25" x14ac:dyDescent="0.25">
      <c r="A102" s="58" t="s">
        <v>19</v>
      </c>
      <c r="B102" s="58" t="s">
        <v>19</v>
      </c>
      <c r="C102" s="58" t="s">
        <v>23</v>
      </c>
      <c r="D102" s="58" t="s">
        <v>19</v>
      </c>
      <c r="E102" s="58" t="s">
        <v>22</v>
      </c>
      <c r="F102" s="58" t="s">
        <v>19</v>
      </c>
      <c r="G102" s="58" t="s">
        <v>23</v>
      </c>
      <c r="H102" s="58" t="s">
        <v>20</v>
      </c>
      <c r="I102" s="58" t="s">
        <v>25</v>
      </c>
      <c r="J102" s="58" t="s">
        <v>19</v>
      </c>
      <c r="K102" s="58" t="s">
        <v>19</v>
      </c>
      <c r="L102" s="58" t="s">
        <v>20</v>
      </c>
      <c r="M102" s="58" t="s">
        <v>19</v>
      </c>
      <c r="N102" s="58" t="s">
        <v>19</v>
      </c>
      <c r="O102" s="58" t="s">
        <v>19</v>
      </c>
      <c r="P102" s="58" t="s">
        <v>19</v>
      </c>
      <c r="Q102" s="58" t="s">
        <v>19</v>
      </c>
      <c r="R102" s="74" t="s">
        <v>113</v>
      </c>
      <c r="S102" s="60" t="s">
        <v>0</v>
      </c>
      <c r="T102" s="1">
        <f>92-9.2+105.5-26.8</f>
        <v>161.5</v>
      </c>
      <c r="U102" s="1">
        <v>1092</v>
      </c>
      <c r="V102" s="1">
        <v>1092</v>
      </c>
      <c r="W102" s="1">
        <v>1092</v>
      </c>
      <c r="X102" s="1">
        <v>1092</v>
      </c>
      <c r="Y102" s="1">
        <v>1092</v>
      </c>
      <c r="Z102" s="1">
        <v>1092</v>
      </c>
      <c r="AA102" s="64">
        <f t="shared" si="41"/>
        <v>6713.5</v>
      </c>
      <c r="AB102" s="63">
        <v>2024</v>
      </c>
      <c r="AC102" s="129"/>
    </row>
    <row r="103" spans="1:32" ht="47.25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79" t="s">
        <v>114</v>
      </c>
      <c r="S103" s="147" t="s">
        <v>39</v>
      </c>
      <c r="T103" s="45">
        <f>4+4</f>
        <v>8</v>
      </c>
      <c r="U103" s="45">
        <v>29</v>
      </c>
      <c r="V103" s="45">
        <v>29</v>
      </c>
      <c r="W103" s="45">
        <v>29</v>
      </c>
      <c r="X103" s="45">
        <v>29</v>
      </c>
      <c r="Y103" s="45">
        <v>29</v>
      </c>
      <c r="Z103" s="45">
        <v>29</v>
      </c>
      <c r="AA103" s="53">
        <f t="shared" si="41"/>
        <v>182</v>
      </c>
      <c r="AB103" s="42">
        <v>2024</v>
      </c>
      <c r="AC103" s="136"/>
      <c r="AD103" s="117"/>
    </row>
    <row r="104" spans="1:32" ht="47.25" x14ac:dyDescent="0.25">
      <c r="A104" s="58" t="s">
        <v>19</v>
      </c>
      <c r="B104" s="58" t="s">
        <v>19</v>
      </c>
      <c r="C104" s="58" t="s">
        <v>25</v>
      </c>
      <c r="D104" s="58" t="s">
        <v>19</v>
      </c>
      <c r="E104" s="58" t="s">
        <v>22</v>
      </c>
      <c r="F104" s="58" t="s">
        <v>19</v>
      </c>
      <c r="G104" s="58" t="s">
        <v>23</v>
      </c>
      <c r="H104" s="58" t="s">
        <v>20</v>
      </c>
      <c r="I104" s="58" t="s">
        <v>25</v>
      </c>
      <c r="J104" s="58" t="s">
        <v>19</v>
      </c>
      <c r="K104" s="58" t="s">
        <v>19</v>
      </c>
      <c r="L104" s="58" t="s">
        <v>20</v>
      </c>
      <c r="M104" s="58" t="s">
        <v>19</v>
      </c>
      <c r="N104" s="58" t="s">
        <v>19</v>
      </c>
      <c r="O104" s="58" t="s">
        <v>19</v>
      </c>
      <c r="P104" s="58" t="s">
        <v>19</v>
      </c>
      <c r="Q104" s="58" t="s">
        <v>19</v>
      </c>
      <c r="R104" s="74" t="s">
        <v>113</v>
      </c>
      <c r="S104" s="60" t="s">
        <v>0</v>
      </c>
      <c r="T104" s="1">
        <f>1135.8-126-115.2-44.7</f>
        <v>849.89999999999986</v>
      </c>
      <c r="U104" s="1">
        <f>630.5-140</f>
        <v>490.5</v>
      </c>
      <c r="V104" s="1">
        <v>630.5</v>
      </c>
      <c r="W104" s="1">
        <v>630.5</v>
      </c>
      <c r="X104" s="1">
        <v>630.5</v>
      </c>
      <c r="Y104" s="1">
        <v>630.5</v>
      </c>
      <c r="Z104" s="1">
        <v>630.5</v>
      </c>
      <c r="AA104" s="64">
        <f t="shared" si="41"/>
        <v>4492.8999999999996</v>
      </c>
      <c r="AB104" s="63">
        <v>2024</v>
      </c>
      <c r="AC104" s="131"/>
      <c r="AD104" s="110"/>
    </row>
    <row r="105" spans="1:32" ht="47.25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6" t="s">
        <v>115</v>
      </c>
      <c r="S105" s="147" t="s">
        <v>39</v>
      </c>
      <c r="T105" s="45">
        <v>26</v>
      </c>
      <c r="U105" s="45">
        <v>20</v>
      </c>
      <c r="V105" s="45">
        <v>20</v>
      </c>
      <c r="W105" s="45">
        <v>20</v>
      </c>
      <c r="X105" s="45">
        <v>20</v>
      </c>
      <c r="Y105" s="45">
        <v>20</v>
      </c>
      <c r="Z105" s="45">
        <v>20</v>
      </c>
      <c r="AA105" s="53">
        <f t="shared" si="41"/>
        <v>146</v>
      </c>
      <c r="AB105" s="42">
        <v>2024</v>
      </c>
      <c r="AC105" s="132"/>
      <c r="AD105" s="110"/>
    </row>
    <row r="106" spans="1:32" ht="47.25" x14ac:dyDescent="0.25">
      <c r="A106" s="58" t="s">
        <v>19</v>
      </c>
      <c r="B106" s="58" t="s">
        <v>19</v>
      </c>
      <c r="C106" s="58" t="s">
        <v>22</v>
      </c>
      <c r="D106" s="58" t="s">
        <v>19</v>
      </c>
      <c r="E106" s="58" t="s">
        <v>22</v>
      </c>
      <c r="F106" s="58" t="s">
        <v>19</v>
      </c>
      <c r="G106" s="58" t="s">
        <v>23</v>
      </c>
      <c r="H106" s="58" t="s">
        <v>20</v>
      </c>
      <c r="I106" s="58" t="s">
        <v>25</v>
      </c>
      <c r="J106" s="58" t="s">
        <v>19</v>
      </c>
      <c r="K106" s="58" t="s">
        <v>19</v>
      </c>
      <c r="L106" s="58" t="s">
        <v>20</v>
      </c>
      <c r="M106" s="58" t="s">
        <v>19</v>
      </c>
      <c r="N106" s="58" t="s">
        <v>19</v>
      </c>
      <c r="O106" s="58" t="s">
        <v>19</v>
      </c>
      <c r="P106" s="58" t="s">
        <v>19</v>
      </c>
      <c r="Q106" s="58" t="s">
        <v>19</v>
      </c>
      <c r="R106" s="74" t="s">
        <v>113</v>
      </c>
      <c r="S106" s="60" t="s">
        <v>0</v>
      </c>
      <c r="T106" s="1">
        <f>429.2+396.7-107.5</f>
        <v>718.4</v>
      </c>
      <c r="U106" s="1">
        <v>475.2</v>
      </c>
      <c r="V106" s="1">
        <v>475.2</v>
      </c>
      <c r="W106" s="1">
        <v>475.2</v>
      </c>
      <c r="X106" s="1">
        <v>475.2</v>
      </c>
      <c r="Y106" s="1">
        <v>475.2</v>
      </c>
      <c r="Z106" s="1">
        <v>475.2</v>
      </c>
      <c r="AA106" s="64">
        <f t="shared" si="41"/>
        <v>3569.5999999999995</v>
      </c>
      <c r="AB106" s="63">
        <v>2024</v>
      </c>
      <c r="AC106" s="129"/>
    </row>
    <row r="107" spans="1:32" ht="47.25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 t="s">
        <v>116</v>
      </c>
      <c r="S107" s="42" t="s">
        <v>39</v>
      </c>
      <c r="T107" s="45">
        <v>17</v>
      </c>
      <c r="U107" s="45">
        <v>17</v>
      </c>
      <c r="V107" s="45">
        <v>17</v>
      </c>
      <c r="W107" s="45">
        <v>17</v>
      </c>
      <c r="X107" s="45">
        <v>17</v>
      </c>
      <c r="Y107" s="45">
        <v>17</v>
      </c>
      <c r="Z107" s="45">
        <v>17</v>
      </c>
      <c r="AA107" s="53">
        <f t="shared" si="41"/>
        <v>119</v>
      </c>
      <c r="AB107" s="42">
        <v>2024</v>
      </c>
      <c r="AC107" s="132"/>
      <c r="AD107" s="110"/>
    </row>
    <row r="108" spans="1:32" ht="47.25" x14ac:dyDescent="0.25">
      <c r="A108" s="58" t="s">
        <v>19</v>
      </c>
      <c r="B108" s="58" t="s">
        <v>19</v>
      </c>
      <c r="C108" s="58" t="s">
        <v>26</v>
      </c>
      <c r="D108" s="58" t="s">
        <v>19</v>
      </c>
      <c r="E108" s="58" t="s">
        <v>22</v>
      </c>
      <c r="F108" s="58" t="s">
        <v>19</v>
      </c>
      <c r="G108" s="58" t="s">
        <v>23</v>
      </c>
      <c r="H108" s="58" t="s">
        <v>20</v>
      </c>
      <c r="I108" s="58" t="s">
        <v>25</v>
      </c>
      <c r="J108" s="58" t="s">
        <v>19</v>
      </c>
      <c r="K108" s="58" t="s">
        <v>19</v>
      </c>
      <c r="L108" s="58" t="s">
        <v>20</v>
      </c>
      <c r="M108" s="58" t="s">
        <v>19</v>
      </c>
      <c r="N108" s="58" t="s">
        <v>19</v>
      </c>
      <c r="O108" s="58" t="s">
        <v>19</v>
      </c>
      <c r="P108" s="58" t="s">
        <v>19</v>
      </c>
      <c r="Q108" s="58" t="s">
        <v>19</v>
      </c>
      <c r="R108" s="74" t="s">
        <v>117</v>
      </c>
      <c r="S108" s="60" t="s">
        <v>0</v>
      </c>
      <c r="T108" s="1">
        <f>153.3-3</f>
        <v>150.30000000000001</v>
      </c>
      <c r="U108" s="1">
        <f>200+50</f>
        <v>250</v>
      </c>
      <c r="V108" s="1">
        <v>200</v>
      </c>
      <c r="W108" s="1">
        <v>200</v>
      </c>
      <c r="X108" s="1">
        <v>200</v>
      </c>
      <c r="Y108" s="1">
        <v>200</v>
      </c>
      <c r="Z108" s="1">
        <v>200</v>
      </c>
      <c r="AA108" s="64">
        <f t="shared" si="41"/>
        <v>1400.3</v>
      </c>
      <c r="AB108" s="63">
        <v>2024</v>
      </c>
      <c r="AC108" s="33"/>
    </row>
    <row r="109" spans="1:32" ht="47.25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1" t="s">
        <v>118</v>
      </c>
      <c r="S109" s="42" t="s">
        <v>39</v>
      </c>
      <c r="T109" s="45">
        <v>10</v>
      </c>
      <c r="U109" s="45">
        <v>18</v>
      </c>
      <c r="V109" s="45">
        <v>18</v>
      </c>
      <c r="W109" s="45">
        <v>18</v>
      </c>
      <c r="X109" s="45">
        <v>18</v>
      </c>
      <c r="Y109" s="45">
        <v>18</v>
      </c>
      <c r="Z109" s="45">
        <v>18</v>
      </c>
      <c r="AA109" s="53">
        <f t="shared" si="41"/>
        <v>118</v>
      </c>
      <c r="AB109" s="42">
        <v>2024</v>
      </c>
      <c r="AC109" s="33"/>
    </row>
    <row r="110" spans="1:32" ht="31.5" x14ac:dyDescent="0.25">
      <c r="A110" s="58" t="s">
        <v>19</v>
      </c>
      <c r="B110" s="58" t="s">
        <v>20</v>
      </c>
      <c r="C110" s="58" t="s">
        <v>21</v>
      </c>
      <c r="D110" s="58" t="s">
        <v>19</v>
      </c>
      <c r="E110" s="58" t="s">
        <v>22</v>
      </c>
      <c r="F110" s="58" t="s">
        <v>19</v>
      </c>
      <c r="G110" s="58" t="s">
        <v>23</v>
      </c>
      <c r="H110" s="58" t="s">
        <v>20</v>
      </c>
      <c r="I110" s="58" t="s">
        <v>25</v>
      </c>
      <c r="J110" s="58" t="s">
        <v>19</v>
      </c>
      <c r="K110" s="58" t="s">
        <v>19</v>
      </c>
      <c r="L110" s="58" t="s">
        <v>20</v>
      </c>
      <c r="M110" s="58" t="s">
        <v>19</v>
      </c>
      <c r="N110" s="58" t="s">
        <v>19</v>
      </c>
      <c r="O110" s="58" t="s">
        <v>19</v>
      </c>
      <c r="P110" s="58" t="s">
        <v>19</v>
      </c>
      <c r="Q110" s="58" t="s">
        <v>19</v>
      </c>
      <c r="R110" s="144" t="s">
        <v>119</v>
      </c>
      <c r="S110" s="101" t="s">
        <v>0</v>
      </c>
      <c r="T110" s="64">
        <f>2300+20572-19997.4-439+45+48+203.1-4</f>
        <v>2727.6999999999985</v>
      </c>
      <c r="U110" s="64">
        <v>7300</v>
      </c>
      <c r="V110" s="64">
        <v>3500</v>
      </c>
      <c r="W110" s="64">
        <v>3500</v>
      </c>
      <c r="X110" s="64">
        <v>3500</v>
      </c>
      <c r="Y110" s="64">
        <v>3500</v>
      </c>
      <c r="Z110" s="64">
        <v>3500</v>
      </c>
      <c r="AA110" s="64">
        <f>SUM(T110:Y110)</f>
        <v>24027.699999999997</v>
      </c>
      <c r="AB110" s="63">
        <v>2024</v>
      </c>
      <c r="AC110" s="132"/>
      <c r="AD110" s="117"/>
      <c r="AE110" s="117"/>
      <c r="AF110" s="117"/>
    </row>
    <row r="111" spans="1:32" s="77" customFormat="1" ht="47.4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41" t="s">
        <v>120</v>
      </c>
      <c r="S111" s="42" t="s">
        <v>51</v>
      </c>
      <c r="T111" s="2">
        <v>8</v>
      </c>
      <c r="U111" s="2">
        <v>8</v>
      </c>
      <c r="V111" s="2">
        <v>8</v>
      </c>
      <c r="W111" s="2">
        <v>8</v>
      </c>
      <c r="X111" s="2">
        <v>8</v>
      </c>
      <c r="Y111" s="2">
        <v>8</v>
      </c>
      <c r="Z111" s="2">
        <v>8</v>
      </c>
      <c r="AA111" s="46">
        <v>8</v>
      </c>
      <c r="AB111" s="42">
        <v>2024</v>
      </c>
      <c r="AC111" s="33"/>
      <c r="AD111" s="110"/>
    </row>
    <row r="112" spans="1:32" ht="31.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6" t="s">
        <v>121</v>
      </c>
      <c r="S112" s="147" t="s">
        <v>51</v>
      </c>
      <c r="T112" s="2">
        <v>0</v>
      </c>
      <c r="U112" s="2">
        <v>998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46">
        <f>SUM(T112:Z112)</f>
        <v>998</v>
      </c>
      <c r="AB112" s="147">
        <v>2019</v>
      </c>
      <c r="AC112" s="33"/>
      <c r="AD112" s="110"/>
    </row>
    <row r="113" spans="1:32" s="77" customFormat="1" ht="31.9" customHeight="1" x14ac:dyDescent="0.25">
      <c r="A113" s="58" t="s">
        <v>19</v>
      </c>
      <c r="B113" s="58" t="s">
        <v>20</v>
      </c>
      <c r="C113" s="58" t="s">
        <v>21</v>
      </c>
      <c r="D113" s="58" t="s">
        <v>19</v>
      </c>
      <c r="E113" s="58" t="s">
        <v>22</v>
      </c>
      <c r="F113" s="58" t="s">
        <v>19</v>
      </c>
      <c r="G113" s="58" t="s">
        <v>23</v>
      </c>
      <c r="H113" s="58" t="s">
        <v>20</v>
      </c>
      <c r="I113" s="58" t="s">
        <v>25</v>
      </c>
      <c r="J113" s="58" t="s">
        <v>19</v>
      </c>
      <c r="K113" s="58" t="s">
        <v>19</v>
      </c>
      <c r="L113" s="58" t="s">
        <v>20</v>
      </c>
      <c r="M113" s="58" t="s">
        <v>19</v>
      </c>
      <c r="N113" s="58" t="s">
        <v>19</v>
      </c>
      <c r="O113" s="58" t="s">
        <v>19</v>
      </c>
      <c r="P113" s="58" t="s">
        <v>19</v>
      </c>
      <c r="Q113" s="58" t="s">
        <v>19</v>
      </c>
      <c r="R113" s="59" t="s">
        <v>122</v>
      </c>
      <c r="S113" s="63" t="s">
        <v>0</v>
      </c>
      <c r="T113" s="64">
        <f>102300-550-5000-1550.7+43.1+12-12</f>
        <v>95242.400000000009</v>
      </c>
      <c r="U113" s="64">
        <f>83000-4000</f>
        <v>79000</v>
      </c>
      <c r="V113" s="64">
        <v>92300</v>
      </c>
      <c r="W113" s="64">
        <v>83000</v>
      </c>
      <c r="X113" s="64">
        <v>83000</v>
      </c>
      <c r="Y113" s="64">
        <v>83000</v>
      </c>
      <c r="Z113" s="64">
        <v>83000</v>
      </c>
      <c r="AA113" s="64">
        <f>SUM(T113:Z113)</f>
        <v>598542.4</v>
      </c>
      <c r="AB113" s="63">
        <v>2024</v>
      </c>
      <c r="AC113" s="33"/>
    </row>
    <row r="114" spans="1:32" s="77" customFormat="1" ht="31.5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52" t="s">
        <v>123</v>
      </c>
      <c r="S114" s="42" t="s">
        <v>53</v>
      </c>
      <c r="T114" s="4">
        <v>3.7</v>
      </c>
      <c r="U114" s="4">
        <v>3.8</v>
      </c>
      <c r="V114" s="4">
        <v>3.8</v>
      </c>
      <c r="W114" s="4">
        <v>3.8</v>
      </c>
      <c r="X114" s="4">
        <v>3.8</v>
      </c>
      <c r="Y114" s="4">
        <v>3.8</v>
      </c>
      <c r="Z114" s="4">
        <v>3.8</v>
      </c>
      <c r="AA114" s="6">
        <v>3.8</v>
      </c>
      <c r="AB114" s="42">
        <v>2024</v>
      </c>
      <c r="AC114" s="33"/>
    </row>
    <row r="115" spans="1:32" ht="47.25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 t="s">
        <v>124</v>
      </c>
      <c r="S115" s="42" t="s">
        <v>51</v>
      </c>
      <c r="T115" s="45">
        <v>87</v>
      </c>
      <c r="U115" s="45">
        <v>74</v>
      </c>
      <c r="V115" s="45">
        <v>74</v>
      </c>
      <c r="W115" s="45">
        <v>74</v>
      </c>
      <c r="X115" s="45">
        <v>74</v>
      </c>
      <c r="Y115" s="45">
        <v>74</v>
      </c>
      <c r="Z115" s="45">
        <v>74</v>
      </c>
      <c r="AA115" s="53">
        <v>74</v>
      </c>
      <c r="AB115" s="42">
        <v>2024</v>
      </c>
      <c r="AC115" s="132"/>
      <c r="AD115" s="110"/>
    </row>
    <row r="116" spans="1:32" ht="47.45" customHeight="1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66" t="s">
        <v>125</v>
      </c>
      <c r="S116" s="147" t="s">
        <v>51</v>
      </c>
      <c r="T116" s="2">
        <v>2400</v>
      </c>
      <c r="U116" s="45">
        <v>2400</v>
      </c>
      <c r="V116" s="45">
        <v>2400</v>
      </c>
      <c r="W116" s="45">
        <v>2400</v>
      </c>
      <c r="X116" s="45">
        <v>2400</v>
      </c>
      <c r="Y116" s="45">
        <v>2400</v>
      </c>
      <c r="Z116" s="45">
        <v>2400</v>
      </c>
      <c r="AA116" s="53">
        <f>SUM(T116:Z116)</f>
        <v>16800</v>
      </c>
      <c r="AB116" s="42">
        <v>2024</v>
      </c>
      <c r="AC116" s="132"/>
      <c r="AD116" s="110"/>
    </row>
    <row r="117" spans="1:32" ht="47.25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66" t="s">
        <v>126</v>
      </c>
      <c r="S117" s="147" t="s">
        <v>33</v>
      </c>
      <c r="T117" s="4">
        <v>12100</v>
      </c>
      <c r="U117" s="3">
        <v>12800</v>
      </c>
      <c r="V117" s="3">
        <v>12800</v>
      </c>
      <c r="W117" s="3">
        <v>12800</v>
      </c>
      <c r="X117" s="3">
        <v>12800</v>
      </c>
      <c r="Y117" s="3">
        <v>12800</v>
      </c>
      <c r="Z117" s="3">
        <v>12800</v>
      </c>
      <c r="AA117" s="53">
        <f t="shared" ref="AA117:AA118" si="43">SUM(T117:Z117)</f>
        <v>88900</v>
      </c>
      <c r="AB117" s="42">
        <v>2024</v>
      </c>
      <c r="AC117" s="132"/>
      <c r="AD117" s="110"/>
    </row>
    <row r="118" spans="1:32" s="55" customFormat="1" ht="30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6" t="s">
        <v>127</v>
      </c>
      <c r="S118" s="147" t="s">
        <v>35</v>
      </c>
      <c r="T118" s="4">
        <v>8969</v>
      </c>
      <c r="U118" s="3">
        <v>12053</v>
      </c>
      <c r="V118" s="3">
        <v>12053</v>
      </c>
      <c r="W118" s="3">
        <v>12053</v>
      </c>
      <c r="X118" s="3">
        <v>12053</v>
      </c>
      <c r="Y118" s="3">
        <v>12053</v>
      </c>
      <c r="Z118" s="3">
        <v>12053</v>
      </c>
      <c r="AA118" s="53">
        <f t="shared" si="43"/>
        <v>81287</v>
      </c>
      <c r="AB118" s="42">
        <v>2024</v>
      </c>
      <c r="AC118" s="132"/>
      <c r="AD118" s="110"/>
    </row>
    <row r="119" spans="1:32" s="55" customFormat="1" ht="31.5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1" t="s">
        <v>128</v>
      </c>
      <c r="S119" s="42" t="s">
        <v>53</v>
      </c>
      <c r="T119" s="3">
        <v>2557</v>
      </c>
      <c r="U119" s="3">
        <v>2009.1</v>
      </c>
      <c r="V119" s="3">
        <v>2736</v>
      </c>
      <c r="W119" s="3">
        <v>2009.1</v>
      </c>
      <c r="X119" s="3">
        <v>2009.1</v>
      </c>
      <c r="Y119" s="3">
        <v>2009.1</v>
      </c>
      <c r="Z119" s="3">
        <v>2009.1</v>
      </c>
      <c r="AA119" s="6">
        <v>2009.1</v>
      </c>
      <c r="AB119" s="42">
        <v>2024</v>
      </c>
      <c r="AC119" s="33"/>
    </row>
    <row r="120" spans="1:32" ht="63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52" t="s">
        <v>129</v>
      </c>
      <c r="S120" s="42" t="s">
        <v>37</v>
      </c>
      <c r="T120" s="45">
        <v>247</v>
      </c>
      <c r="U120" s="45">
        <v>247</v>
      </c>
      <c r="V120" s="45">
        <v>248</v>
      </c>
      <c r="W120" s="45">
        <v>247</v>
      </c>
      <c r="X120" s="45">
        <v>247</v>
      </c>
      <c r="Y120" s="45">
        <v>247</v>
      </c>
      <c r="Z120" s="45">
        <v>247</v>
      </c>
      <c r="AA120" s="53">
        <f>SUM(T120:Z120)</f>
        <v>1730</v>
      </c>
      <c r="AB120" s="42">
        <v>2024</v>
      </c>
      <c r="AC120" s="33"/>
    </row>
    <row r="121" spans="1:32" ht="31.5" x14ac:dyDescent="0.25">
      <c r="A121" s="58" t="s">
        <v>19</v>
      </c>
      <c r="B121" s="58" t="s">
        <v>20</v>
      </c>
      <c r="C121" s="58" t="s">
        <v>25</v>
      </c>
      <c r="D121" s="58" t="s">
        <v>19</v>
      </c>
      <c r="E121" s="58" t="s">
        <v>22</v>
      </c>
      <c r="F121" s="58" t="s">
        <v>19</v>
      </c>
      <c r="G121" s="58" t="s">
        <v>23</v>
      </c>
      <c r="H121" s="58" t="s">
        <v>20</v>
      </c>
      <c r="I121" s="58" t="s">
        <v>25</v>
      </c>
      <c r="J121" s="58" t="s">
        <v>19</v>
      </c>
      <c r="K121" s="58" t="s">
        <v>19</v>
      </c>
      <c r="L121" s="58" t="s">
        <v>20</v>
      </c>
      <c r="M121" s="58" t="s">
        <v>19</v>
      </c>
      <c r="N121" s="58" t="s">
        <v>19</v>
      </c>
      <c r="O121" s="58" t="s">
        <v>19</v>
      </c>
      <c r="P121" s="58" t="s">
        <v>19</v>
      </c>
      <c r="Q121" s="58" t="s">
        <v>19</v>
      </c>
      <c r="R121" s="73" t="s">
        <v>130</v>
      </c>
      <c r="S121" s="101" t="s">
        <v>0</v>
      </c>
      <c r="T121" s="64">
        <f>0+236</f>
        <v>236</v>
      </c>
      <c r="U121" s="64">
        <f>1036-229-48</f>
        <v>759</v>
      </c>
      <c r="V121" s="64">
        <v>1036</v>
      </c>
      <c r="W121" s="64">
        <v>1036</v>
      </c>
      <c r="X121" s="64">
        <v>1036</v>
      </c>
      <c r="Y121" s="64">
        <v>1036</v>
      </c>
      <c r="Z121" s="64">
        <v>1036</v>
      </c>
      <c r="AA121" s="64">
        <f>SUM(T121:Z121)</f>
        <v>6175</v>
      </c>
      <c r="AB121" s="63">
        <v>2024</v>
      </c>
      <c r="AC121" s="33"/>
    </row>
    <row r="122" spans="1:32" ht="31.5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66" t="s">
        <v>131</v>
      </c>
      <c r="S122" s="147" t="s">
        <v>51</v>
      </c>
      <c r="T122" s="2">
        <v>0</v>
      </c>
      <c r="U122" s="2">
        <v>0</v>
      </c>
      <c r="V122" s="2">
        <v>0</v>
      </c>
      <c r="W122" s="2">
        <v>0</v>
      </c>
      <c r="X122" s="2">
        <v>5</v>
      </c>
      <c r="Y122" s="2">
        <v>5</v>
      </c>
      <c r="Z122" s="2">
        <v>5</v>
      </c>
      <c r="AA122" s="53">
        <f>SUM(X122:Z122)</f>
        <v>15</v>
      </c>
      <c r="AB122" s="42">
        <v>2024</v>
      </c>
      <c r="AC122" s="132"/>
      <c r="AD122" s="117"/>
      <c r="AE122" s="117"/>
      <c r="AF122" s="117"/>
    </row>
    <row r="123" spans="1:32" ht="31.5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6" t="s">
        <v>188</v>
      </c>
      <c r="S123" s="147" t="s">
        <v>51</v>
      </c>
      <c r="T123" s="2">
        <v>3</v>
      </c>
      <c r="U123" s="2">
        <v>5</v>
      </c>
      <c r="V123" s="2">
        <v>5</v>
      </c>
      <c r="W123" s="2">
        <v>5</v>
      </c>
      <c r="X123" s="45">
        <v>5</v>
      </c>
      <c r="Y123" s="45">
        <v>5</v>
      </c>
      <c r="Z123" s="45">
        <v>5</v>
      </c>
      <c r="AA123" s="53">
        <v>5</v>
      </c>
      <c r="AB123" s="42">
        <v>2024</v>
      </c>
      <c r="AC123" s="33"/>
      <c r="AD123" s="117"/>
      <c r="AE123" s="117"/>
      <c r="AF123" s="117"/>
    </row>
    <row r="124" spans="1:32" ht="33" customHeight="1" x14ac:dyDescent="0.25">
      <c r="A124" s="58" t="s">
        <v>19</v>
      </c>
      <c r="B124" s="58" t="s">
        <v>20</v>
      </c>
      <c r="C124" s="58" t="s">
        <v>21</v>
      </c>
      <c r="D124" s="58" t="s">
        <v>19</v>
      </c>
      <c r="E124" s="58" t="s">
        <v>22</v>
      </c>
      <c r="F124" s="58" t="s">
        <v>19</v>
      </c>
      <c r="G124" s="58" t="s">
        <v>23</v>
      </c>
      <c r="H124" s="58" t="s">
        <v>20</v>
      </c>
      <c r="I124" s="58" t="s">
        <v>25</v>
      </c>
      <c r="J124" s="58" t="s">
        <v>19</v>
      </c>
      <c r="K124" s="58" t="s">
        <v>19</v>
      </c>
      <c r="L124" s="58" t="s">
        <v>20</v>
      </c>
      <c r="M124" s="58" t="s">
        <v>19</v>
      </c>
      <c r="N124" s="58" t="s">
        <v>19</v>
      </c>
      <c r="O124" s="58" t="s">
        <v>19</v>
      </c>
      <c r="P124" s="58" t="s">
        <v>19</v>
      </c>
      <c r="Q124" s="58" t="s">
        <v>19</v>
      </c>
      <c r="R124" s="73" t="s">
        <v>183</v>
      </c>
      <c r="S124" s="101" t="s">
        <v>0</v>
      </c>
      <c r="T124" s="64">
        <f>0+550+1550.7</f>
        <v>2100.6999999999998</v>
      </c>
      <c r="U124" s="64">
        <f>0+4000</f>
        <v>4000</v>
      </c>
      <c r="V124" s="64">
        <f>0</f>
        <v>0</v>
      </c>
      <c r="W124" s="64">
        <f>0</f>
        <v>0</v>
      </c>
      <c r="X124" s="64">
        <f>0</f>
        <v>0</v>
      </c>
      <c r="Y124" s="64">
        <f>0</f>
        <v>0</v>
      </c>
      <c r="Z124" s="64">
        <f>0</f>
        <v>0</v>
      </c>
      <c r="AA124" s="64">
        <f>SUM(T124:Z124)</f>
        <v>6100.7</v>
      </c>
      <c r="AB124" s="63">
        <v>2019</v>
      </c>
      <c r="AC124" s="33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6" t="s">
        <v>182</v>
      </c>
      <c r="S125" s="147" t="s">
        <v>10</v>
      </c>
      <c r="T125" s="2">
        <v>2</v>
      </c>
      <c r="U125" s="2">
        <v>1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53">
        <f>SUM(T125:Z125)</f>
        <v>3</v>
      </c>
      <c r="AB125" s="42">
        <v>2019</v>
      </c>
      <c r="AC125" s="132"/>
      <c r="AD125" s="117"/>
      <c r="AE125" s="117"/>
      <c r="AF125" s="117"/>
    </row>
    <row r="126" spans="1:32" ht="20.45" customHeight="1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158" t="s">
        <v>302</v>
      </c>
      <c r="S126" s="60" t="s">
        <v>0</v>
      </c>
      <c r="T126" s="64">
        <v>0</v>
      </c>
      <c r="U126" s="64">
        <f>SUM(U127:U130)</f>
        <v>119395.5</v>
      </c>
      <c r="V126" s="64">
        <f t="shared" ref="V126:Z126" si="44">V127+V130</f>
        <v>5649.7</v>
      </c>
      <c r="W126" s="64">
        <f t="shared" si="44"/>
        <v>5649.7</v>
      </c>
      <c r="X126" s="64">
        <f t="shared" si="44"/>
        <v>5649.7</v>
      </c>
      <c r="Y126" s="64">
        <f t="shared" si="44"/>
        <v>5649.7</v>
      </c>
      <c r="Z126" s="64">
        <f t="shared" si="44"/>
        <v>5649.7</v>
      </c>
      <c r="AA126" s="64">
        <f>SUM(T126:Z126)</f>
        <v>147644.00000000003</v>
      </c>
      <c r="AB126" s="63">
        <v>2024</v>
      </c>
      <c r="AD126" s="112"/>
      <c r="AE126" s="112"/>
    </row>
    <row r="127" spans="1:32" x14ac:dyDescent="0.25">
      <c r="A127" s="58" t="s">
        <v>19</v>
      </c>
      <c r="B127" s="58" t="s">
        <v>20</v>
      </c>
      <c r="C127" s="58" t="s">
        <v>21</v>
      </c>
      <c r="D127" s="58" t="s">
        <v>19</v>
      </c>
      <c r="E127" s="58" t="s">
        <v>22</v>
      </c>
      <c r="F127" s="58" t="s">
        <v>19</v>
      </c>
      <c r="G127" s="58" t="s">
        <v>23</v>
      </c>
      <c r="H127" s="58" t="s">
        <v>20</v>
      </c>
      <c r="I127" s="58" t="s">
        <v>25</v>
      </c>
      <c r="J127" s="58" t="s">
        <v>19</v>
      </c>
      <c r="K127" s="58" t="s">
        <v>274</v>
      </c>
      <c r="L127" s="58" t="s">
        <v>21</v>
      </c>
      <c r="M127" s="58" t="s">
        <v>22</v>
      </c>
      <c r="N127" s="58" t="s">
        <v>22</v>
      </c>
      <c r="O127" s="58" t="s">
        <v>22</v>
      </c>
      <c r="P127" s="58" t="s">
        <v>22</v>
      </c>
      <c r="Q127" s="58" t="s">
        <v>20</v>
      </c>
      <c r="R127" s="159"/>
      <c r="S127" s="60" t="s">
        <v>0</v>
      </c>
      <c r="T127" s="1">
        <v>0</v>
      </c>
      <c r="U127" s="1">
        <v>0</v>
      </c>
      <c r="V127" s="1">
        <v>5649.7</v>
      </c>
      <c r="W127" s="1">
        <v>5649.7</v>
      </c>
      <c r="X127" s="1">
        <v>5649.7</v>
      </c>
      <c r="Y127" s="1">
        <v>5649.7</v>
      </c>
      <c r="Z127" s="1">
        <v>5649.7</v>
      </c>
      <c r="AA127" s="64">
        <f>SUM(T127:Z127)</f>
        <v>28248.5</v>
      </c>
      <c r="AB127" s="63">
        <v>2024</v>
      </c>
      <c r="AD127" s="112"/>
      <c r="AE127" s="112"/>
    </row>
    <row r="128" spans="1:32" x14ac:dyDescent="0.25">
      <c r="A128" s="58" t="s">
        <v>19</v>
      </c>
      <c r="B128" s="58" t="s">
        <v>25</v>
      </c>
      <c r="C128" s="58" t="s">
        <v>23</v>
      </c>
      <c r="D128" s="58" t="s">
        <v>19</v>
      </c>
      <c r="E128" s="58" t="s">
        <v>22</v>
      </c>
      <c r="F128" s="58" t="s">
        <v>19</v>
      </c>
      <c r="G128" s="58" t="s">
        <v>23</v>
      </c>
      <c r="H128" s="58" t="s">
        <v>20</v>
      </c>
      <c r="I128" s="58" t="s">
        <v>25</v>
      </c>
      <c r="J128" s="58" t="s">
        <v>19</v>
      </c>
      <c r="K128" s="58" t="s">
        <v>274</v>
      </c>
      <c r="L128" s="58" t="s">
        <v>21</v>
      </c>
      <c r="M128" s="58" t="s">
        <v>22</v>
      </c>
      <c r="N128" s="58" t="s">
        <v>22</v>
      </c>
      <c r="O128" s="58" t="s">
        <v>22</v>
      </c>
      <c r="P128" s="58" t="s">
        <v>22</v>
      </c>
      <c r="Q128" s="58" t="s">
        <v>20</v>
      </c>
      <c r="R128" s="159"/>
      <c r="S128" s="60" t="s">
        <v>0</v>
      </c>
      <c r="T128" s="1">
        <v>0</v>
      </c>
      <c r="U128" s="1">
        <v>115690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64">
        <f t="shared" ref="AA128:AA130" si="45">SUM(T128:Z128)</f>
        <v>115690</v>
      </c>
      <c r="AB128" s="63">
        <v>2019</v>
      </c>
      <c r="AD128" s="112"/>
      <c r="AE128" s="112"/>
    </row>
    <row r="129" spans="1:31" x14ac:dyDescent="0.25">
      <c r="A129" s="58" t="s">
        <v>19</v>
      </c>
      <c r="B129" s="58" t="s">
        <v>20</v>
      </c>
      <c r="C129" s="58" t="s">
        <v>21</v>
      </c>
      <c r="D129" s="58" t="s">
        <v>19</v>
      </c>
      <c r="E129" s="58" t="s">
        <v>22</v>
      </c>
      <c r="F129" s="58" t="s">
        <v>19</v>
      </c>
      <c r="G129" s="58" t="s">
        <v>23</v>
      </c>
      <c r="H129" s="58" t="s">
        <v>20</v>
      </c>
      <c r="I129" s="58" t="s">
        <v>25</v>
      </c>
      <c r="J129" s="58" t="s">
        <v>19</v>
      </c>
      <c r="K129" s="58" t="s">
        <v>19</v>
      </c>
      <c r="L129" s="58" t="s">
        <v>20</v>
      </c>
      <c r="M129" s="58" t="s">
        <v>19</v>
      </c>
      <c r="N129" s="58" t="s">
        <v>19</v>
      </c>
      <c r="O129" s="58" t="s">
        <v>19</v>
      </c>
      <c r="P129" s="58" t="s">
        <v>19</v>
      </c>
      <c r="Q129" s="58" t="s">
        <v>19</v>
      </c>
      <c r="R129" s="159"/>
      <c r="S129" s="60" t="s">
        <v>0</v>
      </c>
      <c r="T129" s="1">
        <v>0</v>
      </c>
      <c r="U129" s="1">
        <f>640+200</f>
        <v>840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64">
        <f t="shared" ref="AA129" si="46">SUM(T129:Z129)</f>
        <v>840</v>
      </c>
      <c r="AB129" s="63">
        <v>2019</v>
      </c>
      <c r="AD129" s="112"/>
      <c r="AE129" s="112"/>
    </row>
    <row r="130" spans="1:31" x14ac:dyDescent="0.25">
      <c r="A130" s="58" t="s">
        <v>19</v>
      </c>
      <c r="B130" s="58" t="s">
        <v>25</v>
      </c>
      <c r="C130" s="58" t="s">
        <v>23</v>
      </c>
      <c r="D130" s="58" t="s">
        <v>19</v>
      </c>
      <c r="E130" s="58" t="s">
        <v>22</v>
      </c>
      <c r="F130" s="58" t="s">
        <v>19</v>
      </c>
      <c r="G130" s="58" t="s">
        <v>23</v>
      </c>
      <c r="H130" s="58" t="s">
        <v>20</v>
      </c>
      <c r="I130" s="58" t="s">
        <v>25</v>
      </c>
      <c r="J130" s="58" t="s">
        <v>19</v>
      </c>
      <c r="K130" s="58" t="s">
        <v>19</v>
      </c>
      <c r="L130" s="58" t="s">
        <v>20</v>
      </c>
      <c r="M130" s="58" t="s">
        <v>19</v>
      </c>
      <c r="N130" s="58" t="s">
        <v>19</v>
      </c>
      <c r="O130" s="58" t="s">
        <v>19</v>
      </c>
      <c r="P130" s="58" t="s">
        <v>19</v>
      </c>
      <c r="Q130" s="58" t="s">
        <v>19</v>
      </c>
      <c r="R130" s="160"/>
      <c r="S130" s="60" t="s">
        <v>0</v>
      </c>
      <c r="T130" s="1">
        <v>0</v>
      </c>
      <c r="U130" s="1">
        <v>2865.5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64">
        <f t="shared" si="45"/>
        <v>2865.5</v>
      </c>
      <c r="AB130" s="63">
        <v>2019</v>
      </c>
      <c r="AD130" s="112"/>
      <c r="AE130" s="112"/>
    </row>
    <row r="131" spans="1:31" ht="47.25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6" t="s">
        <v>76</v>
      </c>
      <c r="S131" s="67" t="s">
        <v>39</v>
      </c>
      <c r="T131" s="2">
        <v>0</v>
      </c>
      <c r="U131" s="2">
        <v>6</v>
      </c>
      <c r="V131" s="2">
        <v>3</v>
      </c>
      <c r="W131" s="2">
        <v>3</v>
      </c>
      <c r="X131" s="2">
        <v>3</v>
      </c>
      <c r="Y131" s="2">
        <v>3</v>
      </c>
      <c r="Z131" s="2">
        <v>3</v>
      </c>
      <c r="AA131" s="53">
        <f>SUM(T131:Z131)</f>
        <v>21</v>
      </c>
      <c r="AB131" s="147">
        <v>2024</v>
      </c>
      <c r="AD131" s="112"/>
      <c r="AE131" s="112"/>
    </row>
    <row r="132" spans="1:31" ht="31.15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6" t="s">
        <v>77</v>
      </c>
      <c r="S132" s="67" t="s">
        <v>53</v>
      </c>
      <c r="T132" s="4">
        <v>0</v>
      </c>
      <c r="U132" s="4">
        <v>58.4</v>
      </c>
      <c r="V132" s="4">
        <v>64.3</v>
      </c>
      <c r="W132" s="4">
        <v>64.3</v>
      </c>
      <c r="X132" s="4">
        <v>64.3</v>
      </c>
      <c r="Y132" s="4">
        <v>64.3</v>
      </c>
      <c r="Z132" s="4">
        <v>64.3</v>
      </c>
      <c r="AA132" s="53">
        <f>SUM(T132:Z132)</f>
        <v>379.90000000000003</v>
      </c>
      <c r="AB132" s="42">
        <v>2024</v>
      </c>
      <c r="AD132" s="112"/>
      <c r="AE132" s="112"/>
    </row>
    <row r="133" spans="1:31" ht="46.9" customHeight="1" x14ac:dyDescent="0.25">
      <c r="A133" s="58" t="s">
        <v>19</v>
      </c>
      <c r="B133" s="58" t="s">
        <v>20</v>
      </c>
      <c r="C133" s="58" t="s">
        <v>21</v>
      </c>
      <c r="D133" s="58" t="s">
        <v>19</v>
      </c>
      <c r="E133" s="58" t="s">
        <v>22</v>
      </c>
      <c r="F133" s="58" t="s">
        <v>19</v>
      </c>
      <c r="G133" s="58" t="s">
        <v>23</v>
      </c>
      <c r="H133" s="58" t="s">
        <v>20</v>
      </c>
      <c r="I133" s="58" t="s">
        <v>25</v>
      </c>
      <c r="J133" s="58" t="s">
        <v>19</v>
      </c>
      <c r="K133" s="58" t="s">
        <v>19</v>
      </c>
      <c r="L133" s="58" t="s">
        <v>20</v>
      </c>
      <c r="M133" s="58" t="s">
        <v>41</v>
      </c>
      <c r="N133" s="58" t="s">
        <v>23</v>
      </c>
      <c r="O133" s="58" t="s">
        <v>186</v>
      </c>
      <c r="P133" s="58" t="s">
        <v>25</v>
      </c>
      <c r="Q133" s="58" t="s">
        <v>19</v>
      </c>
      <c r="R133" s="73" t="s">
        <v>307</v>
      </c>
      <c r="S133" s="60" t="s">
        <v>0</v>
      </c>
      <c r="T133" s="64">
        <v>0</v>
      </c>
      <c r="U133" s="64">
        <f>103354.8-103354.8</f>
        <v>0</v>
      </c>
      <c r="V133" s="64">
        <f>58757.6+103354.8</f>
        <v>162112.4</v>
      </c>
      <c r="W133" s="64">
        <v>0</v>
      </c>
      <c r="X133" s="64">
        <v>0</v>
      </c>
      <c r="Y133" s="64">
        <v>0</v>
      </c>
      <c r="Z133" s="64">
        <v>0</v>
      </c>
      <c r="AA133" s="64">
        <f>SUM(T133:Y133)</f>
        <v>162112.4</v>
      </c>
      <c r="AB133" s="63">
        <v>2020</v>
      </c>
      <c r="AD133" s="112"/>
      <c r="AE133" s="112"/>
    </row>
    <row r="134" spans="1:31" ht="31.5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1" t="s">
        <v>304</v>
      </c>
      <c r="S134" s="42" t="s">
        <v>9</v>
      </c>
      <c r="T134" s="3">
        <v>0</v>
      </c>
      <c r="U134" s="3">
        <v>0</v>
      </c>
      <c r="V134" s="3">
        <v>100</v>
      </c>
      <c r="W134" s="3">
        <v>0</v>
      </c>
      <c r="X134" s="3">
        <v>0</v>
      </c>
      <c r="Y134" s="3">
        <v>0</v>
      </c>
      <c r="Z134" s="3">
        <v>0</v>
      </c>
      <c r="AA134" s="6">
        <f t="shared" ref="AA134:AA135" si="47">SUM(T134:Y134)</f>
        <v>100</v>
      </c>
      <c r="AB134" s="78">
        <v>2020</v>
      </c>
      <c r="AD134" s="112"/>
      <c r="AE134" s="112"/>
    </row>
    <row r="135" spans="1:31" ht="33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6" t="s">
        <v>306</v>
      </c>
      <c r="S135" s="67" t="s">
        <v>305</v>
      </c>
      <c r="T135" s="4">
        <v>0</v>
      </c>
      <c r="U135" s="4">
        <v>0</v>
      </c>
      <c r="V135" s="4">
        <v>88</v>
      </c>
      <c r="W135" s="4">
        <v>0</v>
      </c>
      <c r="X135" s="4">
        <v>0</v>
      </c>
      <c r="Y135" s="4">
        <v>0</v>
      </c>
      <c r="Z135" s="4">
        <v>0</v>
      </c>
      <c r="AA135" s="6">
        <f t="shared" si="47"/>
        <v>88</v>
      </c>
      <c r="AB135" s="78">
        <v>2020</v>
      </c>
      <c r="AD135" s="112"/>
      <c r="AE135" s="112"/>
    </row>
    <row r="136" spans="1:31" s="55" customFormat="1" ht="31.5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80" t="s">
        <v>57</v>
      </c>
      <c r="S136" s="51" t="s">
        <v>0</v>
      </c>
      <c r="T136" s="50">
        <f t="shared" ref="T136:Z136" si="48">T159+T202+T145+T457</f>
        <v>147061.215</v>
      </c>
      <c r="U136" s="50">
        <f t="shared" si="48"/>
        <v>98224.799999999988</v>
      </c>
      <c r="V136" s="50">
        <f t="shared" si="48"/>
        <v>25190.3</v>
      </c>
      <c r="W136" s="50">
        <f t="shared" si="48"/>
        <v>25190.3</v>
      </c>
      <c r="X136" s="50">
        <f t="shared" si="48"/>
        <v>25190.3</v>
      </c>
      <c r="Y136" s="50">
        <f t="shared" si="48"/>
        <v>25190.3</v>
      </c>
      <c r="Z136" s="50">
        <f t="shared" si="48"/>
        <v>25190.3</v>
      </c>
      <c r="AA136" s="50">
        <f>SUM(T136:Z136)</f>
        <v>371237.51499999996</v>
      </c>
      <c r="AB136" s="51">
        <v>2024</v>
      </c>
      <c r="AC136" s="119"/>
      <c r="AD136" s="54"/>
    </row>
    <row r="137" spans="1:31" s="55" customFormat="1" ht="47.25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1" t="s">
        <v>246</v>
      </c>
      <c r="S137" s="42" t="s">
        <v>39</v>
      </c>
      <c r="T137" s="2">
        <f t="shared" ref="T137:Z137" si="49">T458+T164+T204</f>
        <v>58</v>
      </c>
      <c r="U137" s="45">
        <f>U458+U164+U204</f>
        <v>43</v>
      </c>
      <c r="V137" s="2">
        <f t="shared" si="49"/>
        <v>48</v>
      </c>
      <c r="W137" s="2">
        <f t="shared" si="49"/>
        <v>48</v>
      </c>
      <c r="X137" s="2">
        <f t="shared" si="49"/>
        <v>48</v>
      </c>
      <c r="Y137" s="2">
        <f t="shared" si="49"/>
        <v>48</v>
      </c>
      <c r="Z137" s="2">
        <f t="shared" si="49"/>
        <v>48</v>
      </c>
      <c r="AA137" s="46">
        <f>SUM(T137:Z137)</f>
        <v>341</v>
      </c>
      <c r="AB137" s="42">
        <v>2024</v>
      </c>
      <c r="AC137" s="98"/>
      <c r="AD137" s="54"/>
    </row>
    <row r="138" spans="1:31" s="55" customFormat="1" ht="47.25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1" t="s">
        <v>247</v>
      </c>
      <c r="S138" s="42" t="s">
        <v>53</v>
      </c>
      <c r="T138" s="4">
        <f>T458+T162+T203</f>
        <v>63</v>
      </c>
      <c r="U138" s="4">
        <f t="shared" ref="U138:Z138" si="50">U459+U162+U203</f>
        <v>41.300000000000004</v>
      </c>
      <c r="V138" s="4">
        <f t="shared" si="50"/>
        <v>80.300000000000011</v>
      </c>
      <c r="W138" s="4">
        <f t="shared" si="50"/>
        <v>80.300000000000011</v>
      </c>
      <c r="X138" s="4">
        <f t="shared" si="50"/>
        <v>80.300000000000011</v>
      </c>
      <c r="Y138" s="4">
        <f t="shared" si="50"/>
        <v>80.300000000000011</v>
      </c>
      <c r="Z138" s="4">
        <f t="shared" si="50"/>
        <v>80.300000000000011</v>
      </c>
      <c r="AA138" s="46">
        <f>SUM(T138:Z138)</f>
        <v>505.80000000000007</v>
      </c>
      <c r="AB138" s="42">
        <v>2024</v>
      </c>
      <c r="AC138" s="119"/>
      <c r="AD138" s="54"/>
    </row>
    <row r="139" spans="1:31" s="8" customFormat="1" ht="47.4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6" t="s">
        <v>132</v>
      </c>
      <c r="S139" s="147" t="s">
        <v>9</v>
      </c>
      <c r="T139" s="3">
        <f>((4338+39.6)+63)/13987*100</f>
        <v>31.748051762350755</v>
      </c>
      <c r="U139" s="3">
        <f>((4338+39.6)+T138+U138)/13987*100</f>
        <v>32.043325945520849</v>
      </c>
      <c r="V139" s="3">
        <f>((4338+39.6)+U138+V138+T138)/13987*100</f>
        <v>32.617430471151785</v>
      </c>
      <c r="W139" s="3">
        <f>((4338+39.6)+T138+V138+W138+U138)/13987*100</f>
        <v>33.191534996782735</v>
      </c>
      <c r="X139" s="3">
        <f>((4338+39.6)+T138+U138+W138+X138+V138)/13987*100</f>
        <v>33.765639522413679</v>
      </c>
      <c r="Y139" s="3">
        <f>((4338+39.6)+T138+U138+V138+X138+Y138+W138)/13987*100</f>
        <v>34.339744048044622</v>
      </c>
      <c r="Z139" s="3">
        <f>((4338+39.6)+T138+U138+V138+W138+Y138+Z138+X138)/13987*100</f>
        <v>34.913848573675565</v>
      </c>
      <c r="AA139" s="5">
        <f>Z139</f>
        <v>34.913848573675565</v>
      </c>
      <c r="AB139" s="42">
        <v>2024</v>
      </c>
      <c r="AC139" s="111"/>
      <c r="AD139" s="65"/>
    </row>
    <row r="140" spans="1:31" ht="47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5" t="s">
        <v>133</v>
      </c>
      <c r="S140" s="147" t="s">
        <v>9</v>
      </c>
      <c r="T140" s="3">
        <f>30/58*100</f>
        <v>51.724137931034484</v>
      </c>
      <c r="U140" s="4">
        <v>91</v>
      </c>
      <c r="V140" s="4">
        <v>91</v>
      </c>
      <c r="W140" s="4">
        <v>91</v>
      </c>
      <c r="X140" s="4">
        <v>91</v>
      </c>
      <c r="Y140" s="4">
        <v>91</v>
      </c>
      <c r="Z140" s="4">
        <v>91</v>
      </c>
      <c r="AA140" s="5">
        <v>91</v>
      </c>
      <c r="AB140" s="42">
        <v>2024</v>
      </c>
      <c r="AC140" s="119"/>
    </row>
    <row r="141" spans="1:31" ht="62.4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5" t="s">
        <v>271</v>
      </c>
      <c r="S141" s="147" t="s">
        <v>272</v>
      </c>
      <c r="T141" s="4">
        <v>0</v>
      </c>
      <c r="U141" s="4">
        <v>0</v>
      </c>
      <c r="V141" s="4">
        <v>23.7</v>
      </c>
      <c r="W141" s="4">
        <v>23.7</v>
      </c>
      <c r="X141" s="4">
        <v>23.7</v>
      </c>
      <c r="Y141" s="4">
        <v>23.7</v>
      </c>
      <c r="Z141" s="4">
        <v>23.7</v>
      </c>
      <c r="AA141" s="5">
        <v>23.7</v>
      </c>
      <c r="AB141" s="42">
        <v>2024</v>
      </c>
      <c r="AC141" s="119"/>
    </row>
    <row r="142" spans="1:31" s="55" customFormat="1" ht="47.25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1" t="s">
        <v>134</v>
      </c>
      <c r="S142" s="42" t="s">
        <v>9</v>
      </c>
      <c r="T142" s="3">
        <f>27.6/336.9*100</f>
        <v>8.1923419412288521</v>
      </c>
      <c r="U142" s="3">
        <v>43.1</v>
      </c>
      <c r="V142" s="3">
        <v>43.1</v>
      </c>
      <c r="W142" s="3">
        <v>43.1</v>
      </c>
      <c r="X142" s="3">
        <v>43.1</v>
      </c>
      <c r="Y142" s="3">
        <v>43.1</v>
      </c>
      <c r="Z142" s="3">
        <v>43.1</v>
      </c>
      <c r="AA142" s="6">
        <v>43.1</v>
      </c>
      <c r="AB142" s="42">
        <v>2024</v>
      </c>
      <c r="AC142" s="119"/>
      <c r="AD142" s="54"/>
    </row>
    <row r="143" spans="1:31" s="55" customFormat="1" ht="63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9" t="s">
        <v>135</v>
      </c>
      <c r="S143" s="60" t="s">
        <v>42</v>
      </c>
      <c r="T143" s="61">
        <v>0</v>
      </c>
      <c r="U143" s="61">
        <v>0</v>
      </c>
      <c r="V143" s="61">
        <v>1</v>
      </c>
      <c r="W143" s="61">
        <v>1</v>
      </c>
      <c r="X143" s="61">
        <v>1</v>
      </c>
      <c r="Y143" s="61">
        <v>1</v>
      </c>
      <c r="Z143" s="61">
        <v>1</v>
      </c>
      <c r="AA143" s="62">
        <v>1</v>
      </c>
      <c r="AB143" s="63">
        <v>2024</v>
      </c>
      <c r="AC143" s="119"/>
      <c r="AD143" s="54"/>
    </row>
    <row r="144" spans="1:31" s="55" customFormat="1" ht="31.5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1" t="s">
        <v>74</v>
      </c>
      <c r="S144" s="42" t="s">
        <v>39</v>
      </c>
      <c r="T144" s="45">
        <v>0</v>
      </c>
      <c r="U144" s="45">
        <v>0</v>
      </c>
      <c r="V144" s="45">
        <f t="shared" ref="V144:Z144" si="51">V458</f>
        <v>30</v>
      </c>
      <c r="W144" s="45">
        <f t="shared" si="51"/>
        <v>30</v>
      </c>
      <c r="X144" s="45">
        <f t="shared" si="51"/>
        <v>30</v>
      </c>
      <c r="Y144" s="45">
        <f t="shared" si="51"/>
        <v>30</v>
      </c>
      <c r="Z144" s="45">
        <f t="shared" si="51"/>
        <v>30</v>
      </c>
      <c r="AA144" s="53">
        <f>SUM(T144:Z144)</f>
        <v>150</v>
      </c>
      <c r="AB144" s="42">
        <v>2024</v>
      </c>
      <c r="AC144" s="126"/>
      <c r="AD144" s="121"/>
      <c r="AE144" s="121"/>
    </row>
    <row r="145" spans="1:31" s="55" customFormat="1" ht="30.6" customHeight="1" x14ac:dyDescent="0.25">
      <c r="A145" s="58"/>
      <c r="B145" s="58"/>
      <c r="C145" s="58"/>
      <c r="D145" s="58" t="s">
        <v>19</v>
      </c>
      <c r="E145" s="58" t="s">
        <v>22</v>
      </c>
      <c r="F145" s="58" t="s">
        <v>19</v>
      </c>
      <c r="G145" s="58" t="s">
        <v>23</v>
      </c>
      <c r="H145" s="58" t="s">
        <v>20</v>
      </c>
      <c r="I145" s="58" t="s">
        <v>25</v>
      </c>
      <c r="J145" s="58" t="s">
        <v>19</v>
      </c>
      <c r="K145" s="58" t="s">
        <v>19</v>
      </c>
      <c r="L145" s="58" t="s">
        <v>21</v>
      </c>
      <c r="M145" s="58" t="s">
        <v>19</v>
      </c>
      <c r="N145" s="58" t="s">
        <v>19</v>
      </c>
      <c r="O145" s="58" t="s">
        <v>19</v>
      </c>
      <c r="P145" s="58" t="s">
        <v>19</v>
      </c>
      <c r="Q145" s="58" t="s">
        <v>19</v>
      </c>
      <c r="R145" s="146" t="s">
        <v>275</v>
      </c>
      <c r="S145" s="63" t="s">
        <v>0</v>
      </c>
      <c r="T145" s="64">
        <f t="shared" ref="T145:Y145" si="52">T147+T149+T151+T153</f>
        <v>1307</v>
      </c>
      <c r="U145" s="64">
        <f t="shared" si="52"/>
        <v>0</v>
      </c>
      <c r="V145" s="64">
        <f t="shared" si="52"/>
        <v>0</v>
      </c>
      <c r="W145" s="64">
        <f t="shared" si="52"/>
        <v>0</v>
      </c>
      <c r="X145" s="64">
        <f t="shared" si="52"/>
        <v>0</v>
      </c>
      <c r="Y145" s="64">
        <f t="shared" si="52"/>
        <v>0</v>
      </c>
      <c r="Z145" s="64">
        <f t="shared" ref="Z145" si="53">Z147+Z149+Z151+Z153</f>
        <v>0</v>
      </c>
      <c r="AA145" s="64">
        <f>SUM(T145:Y145)</f>
        <v>1307</v>
      </c>
      <c r="AB145" s="63">
        <v>2018</v>
      </c>
      <c r="AC145" s="119"/>
      <c r="AD145" s="121"/>
      <c r="AE145" s="121"/>
    </row>
    <row r="146" spans="1:31" s="55" customFormat="1" ht="63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104" t="s">
        <v>289</v>
      </c>
      <c r="S146" s="56" t="s">
        <v>39</v>
      </c>
      <c r="T146" s="45">
        <f>T148+T150+T152+T154</f>
        <v>39</v>
      </c>
      <c r="U146" s="45">
        <f t="shared" ref="U146:Y146" si="54">U148+U150+U152+U154</f>
        <v>0</v>
      </c>
      <c r="V146" s="45">
        <f t="shared" si="54"/>
        <v>0</v>
      </c>
      <c r="W146" s="45">
        <f t="shared" si="54"/>
        <v>0</v>
      </c>
      <c r="X146" s="45">
        <f t="shared" si="54"/>
        <v>0</v>
      </c>
      <c r="Y146" s="45">
        <f t="shared" si="54"/>
        <v>0</v>
      </c>
      <c r="Z146" s="45">
        <f t="shared" ref="Z146" si="55">Z148+Z150+Z152+Z154</f>
        <v>0</v>
      </c>
      <c r="AA146" s="53">
        <f>T146</f>
        <v>39</v>
      </c>
      <c r="AB146" s="42">
        <v>2018</v>
      </c>
      <c r="AC146" s="119"/>
      <c r="AD146" s="121"/>
      <c r="AE146" s="121"/>
    </row>
    <row r="147" spans="1:31" s="55" customFormat="1" ht="30" customHeight="1" x14ac:dyDescent="0.25">
      <c r="A147" s="58" t="s">
        <v>19</v>
      </c>
      <c r="B147" s="58" t="s">
        <v>19</v>
      </c>
      <c r="C147" s="58" t="s">
        <v>23</v>
      </c>
      <c r="D147" s="58" t="s">
        <v>19</v>
      </c>
      <c r="E147" s="58" t="s">
        <v>22</v>
      </c>
      <c r="F147" s="58" t="s">
        <v>19</v>
      </c>
      <c r="G147" s="58" t="s">
        <v>23</v>
      </c>
      <c r="H147" s="58" t="s">
        <v>20</v>
      </c>
      <c r="I147" s="58" t="s">
        <v>25</v>
      </c>
      <c r="J147" s="58" t="s">
        <v>19</v>
      </c>
      <c r="K147" s="58" t="s">
        <v>19</v>
      </c>
      <c r="L147" s="58" t="s">
        <v>21</v>
      </c>
      <c r="M147" s="58" t="s">
        <v>19</v>
      </c>
      <c r="N147" s="58" t="s">
        <v>19</v>
      </c>
      <c r="O147" s="58" t="s">
        <v>19</v>
      </c>
      <c r="P147" s="58" t="s">
        <v>19</v>
      </c>
      <c r="Q147" s="58" t="s">
        <v>19</v>
      </c>
      <c r="R147" s="146" t="s">
        <v>275</v>
      </c>
      <c r="S147" s="60" t="s">
        <v>0</v>
      </c>
      <c r="T147" s="1">
        <v>474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64">
        <f>SUM(T147:Y147)</f>
        <v>474</v>
      </c>
      <c r="AB147" s="63">
        <v>2018</v>
      </c>
      <c r="AC147" s="130"/>
      <c r="AD147" s="122"/>
      <c r="AE147" s="122"/>
    </row>
    <row r="148" spans="1:31" s="55" customFormat="1" ht="78.75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1" t="s">
        <v>290</v>
      </c>
      <c r="S148" s="56" t="s">
        <v>39</v>
      </c>
      <c r="T148" s="45">
        <v>15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5">
        <v>0</v>
      </c>
      <c r="AA148" s="53">
        <f>T148+U148+V148+W148+X148</f>
        <v>15</v>
      </c>
      <c r="AB148" s="42">
        <v>2018</v>
      </c>
      <c r="AC148" s="119"/>
      <c r="AD148" s="54"/>
    </row>
    <row r="149" spans="1:31" s="157" customFormat="1" ht="30" customHeight="1" x14ac:dyDescent="0.25">
      <c r="A149" s="58" t="s">
        <v>19</v>
      </c>
      <c r="B149" s="58" t="s">
        <v>19</v>
      </c>
      <c r="C149" s="58" t="s">
        <v>25</v>
      </c>
      <c r="D149" s="58" t="s">
        <v>19</v>
      </c>
      <c r="E149" s="58" t="s">
        <v>22</v>
      </c>
      <c r="F149" s="58" t="s">
        <v>19</v>
      </c>
      <c r="G149" s="58" t="s">
        <v>23</v>
      </c>
      <c r="H149" s="58" t="s">
        <v>20</v>
      </c>
      <c r="I149" s="58" t="s">
        <v>25</v>
      </c>
      <c r="J149" s="58" t="s">
        <v>19</v>
      </c>
      <c r="K149" s="58" t="s">
        <v>19</v>
      </c>
      <c r="L149" s="58" t="s">
        <v>21</v>
      </c>
      <c r="M149" s="58" t="s">
        <v>19</v>
      </c>
      <c r="N149" s="58" t="s">
        <v>19</v>
      </c>
      <c r="O149" s="58" t="s">
        <v>19</v>
      </c>
      <c r="P149" s="58" t="s">
        <v>19</v>
      </c>
      <c r="Q149" s="58" t="s">
        <v>19</v>
      </c>
      <c r="R149" s="59" t="s">
        <v>275</v>
      </c>
      <c r="S149" s="60" t="s">
        <v>0</v>
      </c>
      <c r="T149" s="1">
        <f>0+126+400-100</f>
        <v>426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64">
        <f t="shared" ref="AA149:AA154" si="56">SUM(T149:Y149)</f>
        <v>426</v>
      </c>
      <c r="AB149" s="63">
        <v>2018</v>
      </c>
      <c r="AC149" s="155"/>
      <c r="AD149" s="156"/>
      <c r="AE149" s="156"/>
    </row>
    <row r="150" spans="1:31" s="55" customFormat="1" ht="78.75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50" t="s">
        <v>291</v>
      </c>
      <c r="S150" s="151" t="s">
        <v>39</v>
      </c>
      <c r="T150" s="152">
        <v>4</v>
      </c>
      <c r="U150" s="152">
        <v>0</v>
      </c>
      <c r="V150" s="152">
        <v>0</v>
      </c>
      <c r="W150" s="152">
        <v>0</v>
      </c>
      <c r="X150" s="152">
        <v>0</v>
      </c>
      <c r="Y150" s="152">
        <v>0</v>
      </c>
      <c r="Z150" s="152">
        <v>0</v>
      </c>
      <c r="AA150" s="153">
        <f t="shared" si="56"/>
        <v>4</v>
      </c>
      <c r="AB150" s="154">
        <v>2018</v>
      </c>
      <c r="AC150" s="120"/>
      <c r="AD150" s="121"/>
    </row>
    <row r="151" spans="1:31" s="55" customFormat="1" ht="30" customHeight="1" x14ac:dyDescent="0.25">
      <c r="A151" s="58" t="s">
        <v>19</v>
      </c>
      <c r="B151" s="58" t="s">
        <v>19</v>
      </c>
      <c r="C151" s="58" t="s">
        <v>22</v>
      </c>
      <c r="D151" s="58" t="s">
        <v>19</v>
      </c>
      <c r="E151" s="58" t="s">
        <v>22</v>
      </c>
      <c r="F151" s="58" t="s">
        <v>19</v>
      </c>
      <c r="G151" s="58" t="s">
        <v>23</v>
      </c>
      <c r="H151" s="58" t="s">
        <v>20</v>
      </c>
      <c r="I151" s="58" t="s">
        <v>25</v>
      </c>
      <c r="J151" s="58" t="s">
        <v>19</v>
      </c>
      <c r="K151" s="58" t="s">
        <v>19</v>
      </c>
      <c r="L151" s="58" t="s">
        <v>21</v>
      </c>
      <c r="M151" s="58" t="s">
        <v>19</v>
      </c>
      <c r="N151" s="58" t="s">
        <v>19</v>
      </c>
      <c r="O151" s="58" t="s">
        <v>19</v>
      </c>
      <c r="P151" s="58" t="s">
        <v>19</v>
      </c>
      <c r="Q151" s="58" t="s">
        <v>19</v>
      </c>
      <c r="R151" s="146" t="s">
        <v>275</v>
      </c>
      <c r="S151" s="60" t="s">
        <v>0</v>
      </c>
      <c r="T151" s="1">
        <v>250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64">
        <f t="shared" si="56"/>
        <v>250</v>
      </c>
      <c r="AB151" s="63">
        <v>2018</v>
      </c>
      <c r="AC151" s="33"/>
      <c r="AD151" s="121"/>
      <c r="AE151" s="121"/>
    </row>
    <row r="152" spans="1:31" s="55" customFormat="1" ht="78.75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 t="s">
        <v>292</v>
      </c>
      <c r="S152" s="56" t="s">
        <v>39</v>
      </c>
      <c r="T152" s="45">
        <v>16</v>
      </c>
      <c r="U152" s="45">
        <v>0</v>
      </c>
      <c r="V152" s="45">
        <v>0</v>
      </c>
      <c r="W152" s="45">
        <v>0</v>
      </c>
      <c r="X152" s="45">
        <v>0</v>
      </c>
      <c r="Y152" s="45">
        <v>0</v>
      </c>
      <c r="Z152" s="45">
        <v>0</v>
      </c>
      <c r="AA152" s="53">
        <f t="shared" si="56"/>
        <v>16</v>
      </c>
      <c r="AB152" s="42">
        <v>2018</v>
      </c>
      <c r="AC152" s="119"/>
      <c r="AD152" s="54"/>
    </row>
    <row r="153" spans="1:31" s="55" customFormat="1" ht="29.45" customHeight="1" x14ac:dyDescent="0.25">
      <c r="A153" s="58" t="s">
        <v>19</v>
      </c>
      <c r="B153" s="58" t="s">
        <v>19</v>
      </c>
      <c r="C153" s="58" t="s">
        <v>26</v>
      </c>
      <c r="D153" s="58" t="s">
        <v>19</v>
      </c>
      <c r="E153" s="58" t="s">
        <v>22</v>
      </c>
      <c r="F153" s="58" t="s">
        <v>19</v>
      </c>
      <c r="G153" s="58" t="s">
        <v>23</v>
      </c>
      <c r="H153" s="58" t="s">
        <v>20</v>
      </c>
      <c r="I153" s="58" t="s">
        <v>25</v>
      </c>
      <c r="J153" s="58" t="s">
        <v>19</v>
      </c>
      <c r="K153" s="58" t="s">
        <v>19</v>
      </c>
      <c r="L153" s="58" t="s">
        <v>21</v>
      </c>
      <c r="M153" s="58" t="s">
        <v>19</v>
      </c>
      <c r="N153" s="58" t="s">
        <v>19</v>
      </c>
      <c r="O153" s="58" t="s">
        <v>19</v>
      </c>
      <c r="P153" s="58" t="s">
        <v>19</v>
      </c>
      <c r="Q153" s="58" t="s">
        <v>19</v>
      </c>
      <c r="R153" s="146" t="s">
        <v>275</v>
      </c>
      <c r="S153" s="60" t="s">
        <v>0</v>
      </c>
      <c r="T153" s="1">
        <f>480-430+100+55-48</f>
        <v>157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64">
        <f t="shared" si="56"/>
        <v>157</v>
      </c>
      <c r="AB153" s="63">
        <v>2018</v>
      </c>
      <c r="AC153" s="33"/>
      <c r="AD153" s="121"/>
      <c r="AE153" s="121"/>
    </row>
    <row r="154" spans="1:31" s="55" customFormat="1" ht="78.75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1" t="s">
        <v>293</v>
      </c>
      <c r="S154" s="56" t="s">
        <v>39</v>
      </c>
      <c r="T154" s="45">
        <v>4</v>
      </c>
      <c r="U154" s="45">
        <v>0</v>
      </c>
      <c r="V154" s="45">
        <v>0</v>
      </c>
      <c r="W154" s="45">
        <v>0</v>
      </c>
      <c r="X154" s="45">
        <v>0</v>
      </c>
      <c r="Y154" s="45">
        <v>0</v>
      </c>
      <c r="Z154" s="45">
        <v>0</v>
      </c>
      <c r="AA154" s="53">
        <f t="shared" si="56"/>
        <v>4</v>
      </c>
      <c r="AB154" s="42">
        <v>2018</v>
      </c>
      <c r="AC154" s="119"/>
      <c r="AD154" s="54"/>
    </row>
    <row r="155" spans="1:31" s="55" customFormat="1" ht="47.25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9" t="s">
        <v>138</v>
      </c>
      <c r="S155" s="60" t="s">
        <v>42</v>
      </c>
      <c r="T155" s="61">
        <v>0</v>
      </c>
      <c r="U155" s="61">
        <v>0</v>
      </c>
      <c r="V155" s="61">
        <v>1</v>
      </c>
      <c r="W155" s="61">
        <v>1</v>
      </c>
      <c r="X155" s="61">
        <v>1</v>
      </c>
      <c r="Y155" s="61">
        <v>1</v>
      </c>
      <c r="Z155" s="61">
        <v>1</v>
      </c>
      <c r="AA155" s="62">
        <v>1</v>
      </c>
      <c r="AB155" s="63">
        <v>2024</v>
      </c>
      <c r="AC155" s="119"/>
      <c r="AD155" s="54"/>
    </row>
    <row r="156" spans="1:31" ht="31.5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1" t="s">
        <v>79</v>
      </c>
      <c r="S156" s="42" t="s">
        <v>39</v>
      </c>
      <c r="T156" s="2">
        <v>0</v>
      </c>
      <c r="U156" s="2">
        <v>0</v>
      </c>
      <c r="V156" s="2">
        <v>2</v>
      </c>
      <c r="W156" s="2">
        <v>2</v>
      </c>
      <c r="X156" s="2">
        <v>2</v>
      </c>
      <c r="Y156" s="2">
        <v>2</v>
      </c>
      <c r="Z156" s="2">
        <v>2</v>
      </c>
      <c r="AA156" s="53">
        <f>SUM(T156:Z156)</f>
        <v>10</v>
      </c>
      <c r="AB156" s="42">
        <v>2024</v>
      </c>
      <c r="AD156" s="112"/>
      <c r="AE156" s="112"/>
    </row>
    <row r="157" spans="1:31" ht="47.25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9" t="s">
        <v>139</v>
      </c>
      <c r="S157" s="60" t="s">
        <v>42</v>
      </c>
      <c r="T157" s="61">
        <v>0</v>
      </c>
      <c r="U157" s="61">
        <v>0</v>
      </c>
      <c r="V157" s="61">
        <v>1</v>
      </c>
      <c r="W157" s="61">
        <v>1</v>
      </c>
      <c r="X157" s="61">
        <v>1</v>
      </c>
      <c r="Y157" s="61">
        <v>1</v>
      </c>
      <c r="Z157" s="61">
        <v>1</v>
      </c>
      <c r="AA157" s="62">
        <v>1</v>
      </c>
      <c r="AB157" s="63">
        <v>2024</v>
      </c>
      <c r="AD157" s="112"/>
      <c r="AE157" s="112"/>
    </row>
    <row r="158" spans="1:31" s="81" customFormat="1" ht="47.25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41" t="s">
        <v>140</v>
      </c>
      <c r="S158" s="67" t="s">
        <v>39</v>
      </c>
      <c r="T158" s="2">
        <v>0</v>
      </c>
      <c r="U158" s="2">
        <v>0</v>
      </c>
      <c r="V158" s="2">
        <v>30</v>
      </c>
      <c r="W158" s="2">
        <v>30</v>
      </c>
      <c r="X158" s="2">
        <v>30</v>
      </c>
      <c r="Y158" s="2">
        <v>30</v>
      </c>
      <c r="Z158" s="2">
        <v>30</v>
      </c>
      <c r="AA158" s="46">
        <f>SUM(T158:Z158)</f>
        <v>150</v>
      </c>
      <c r="AB158" s="42">
        <v>2024</v>
      </c>
      <c r="AC158" s="111"/>
    </row>
    <row r="159" spans="1:31" s="81" customFormat="1" ht="62.45" customHeight="1" x14ac:dyDescent="0.25">
      <c r="A159" s="58"/>
      <c r="B159" s="58"/>
      <c r="C159" s="58"/>
      <c r="D159" s="58" t="s">
        <v>19</v>
      </c>
      <c r="E159" s="58" t="s">
        <v>25</v>
      </c>
      <c r="F159" s="58" t="s">
        <v>19</v>
      </c>
      <c r="G159" s="58" t="s">
        <v>44</v>
      </c>
      <c r="H159" s="58" t="s">
        <v>20</v>
      </c>
      <c r="I159" s="58" t="s">
        <v>25</v>
      </c>
      <c r="J159" s="58" t="s">
        <v>19</v>
      </c>
      <c r="K159" s="58" t="s">
        <v>19</v>
      </c>
      <c r="L159" s="58" t="s">
        <v>21</v>
      </c>
      <c r="M159" s="58" t="s">
        <v>19</v>
      </c>
      <c r="N159" s="58" t="s">
        <v>19</v>
      </c>
      <c r="O159" s="58" t="s">
        <v>19</v>
      </c>
      <c r="P159" s="58" t="s">
        <v>19</v>
      </c>
      <c r="Q159" s="58" t="s">
        <v>19</v>
      </c>
      <c r="R159" s="158" t="s">
        <v>141</v>
      </c>
      <c r="S159" s="63" t="s">
        <v>0</v>
      </c>
      <c r="T159" s="64">
        <f t="shared" ref="T159:Z159" si="57">T166+T173+T180+T187+T194</f>
        <v>123487.5</v>
      </c>
      <c r="U159" s="64">
        <f t="shared" si="57"/>
        <v>75222.399999999994</v>
      </c>
      <c r="V159" s="64">
        <f t="shared" si="57"/>
        <v>6200</v>
      </c>
      <c r="W159" s="64">
        <f t="shared" si="57"/>
        <v>6200</v>
      </c>
      <c r="X159" s="64">
        <f t="shared" si="57"/>
        <v>6200</v>
      </c>
      <c r="Y159" s="64">
        <f t="shared" si="57"/>
        <v>6200</v>
      </c>
      <c r="Z159" s="64">
        <f t="shared" si="57"/>
        <v>6200</v>
      </c>
      <c r="AA159" s="64">
        <f>SUM(T159:Z159)</f>
        <v>229709.9</v>
      </c>
      <c r="AB159" s="63">
        <v>2024</v>
      </c>
      <c r="AC159" s="116"/>
    </row>
    <row r="160" spans="1:31" s="81" customFormat="1" ht="19.899999999999999" hidden="1" customHeight="1" x14ac:dyDescent="0.25">
      <c r="A160" s="58"/>
      <c r="B160" s="58"/>
      <c r="C160" s="58"/>
      <c r="D160" s="58" t="s">
        <v>19</v>
      </c>
      <c r="E160" s="58" t="s">
        <v>25</v>
      </c>
      <c r="F160" s="58" t="s">
        <v>19</v>
      </c>
      <c r="G160" s="58" t="s">
        <v>44</v>
      </c>
      <c r="H160" s="58" t="s">
        <v>20</v>
      </c>
      <c r="I160" s="58" t="s">
        <v>25</v>
      </c>
      <c r="J160" s="58" t="s">
        <v>19</v>
      </c>
      <c r="K160" s="58" t="s">
        <v>19</v>
      </c>
      <c r="L160" s="58" t="s">
        <v>21</v>
      </c>
      <c r="M160" s="58" t="s">
        <v>38</v>
      </c>
      <c r="N160" s="58" t="s">
        <v>19</v>
      </c>
      <c r="O160" s="58" t="s">
        <v>21</v>
      </c>
      <c r="P160" s="58" t="s">
        <v>20</v>
      </c>
      <c r="Q160" s="58" t="s">
        <v>40</v>
      </c>
      <c r="R160" s="159"/>
      <c r="S160" s="60" t="s">
        <v>0</v>
      </c>
      <c r="T160" s="1">
        <f t="shared" ref="T160:Z161" si="58">T168+T175+T182+T189</f>
        <v>0</v>
      </c>
      <c r="U160" s="1">
        <f t="shared" si="58"/>
        <v>14989.099999999999</v>
      </c>
      <c r="V160" s="1">
        <f t="shared" si="58"/>
        <v>5600.7</v>
      </c>
      <c r="W160" s="1">
        <f t="shared" si="58"/>
        <v>5600.7</v>
      </c>
      <c r="X160" s="1">
        <f t="shared" si="58"/>
        <v>5600.7</v>
      </c>
      <c r="Y160" s="1">
        <f t="shared" si="58"/>
        <v>5600.7</v>
      </c>
      <c r="Z160" s="1">
        <f t="shared" si="58"/>
        <v>5600.7</v>
      </c>
      <c r="AA160" s="64">
        <f>T160+U160+V160+W160+X160+Y160</f>
        <v>37391.9</v>
      </c>
      <c r="AB160" s="63">
        <v>2023</v>
      </c>
      <c r="AC160" s="111"/>
    </row>
    <row r="161" spans="1:30" s="81" customFormat="1" ht="19.899999999999999" hidden="1" customHeight="1" x14ac:dyDescent="0.25">
      <c r="A161" s="58"/>
      <c r="B161" s="58"/>
      <c r="C161" s="58"/>
      <c r="D161" s="58" t="s">
        <v>19</v>
      </c>
      <c r="E161" s="58" t="s">
        <v>25</v>
      </c>
      <c r="F161" s="58" t="s">
        <v>19</v>
      </c>
      <c r="G161" s="58" t="s">
        <v>44</v>
      </c>
      <c r="H161" s="58" t="s">
        <v>20</v>
      </c>
      <c r="I161" s="58" t="s">
        <v>25</v>
      </c>
      <c r="J161" s="58" t="s">
        <v>19</v>
      </c>
      <c r="K161" s="58" t="s">
        <v>19</v>
      </c>
      <c r="L161" s="58" t="s">
        <v>21</v>
      </c>
      <c r="M161" s="58" t="s">
        <v>19</v>
      </c>
      <c r="N161" s="58" t="s">
        <v>19</v>
      </c>
      <c r="O161" s="58" t="s">
        <v>19</v>
      </c>
      <c r="P161" s="58" t="s">
        <v>19</v>
      </c>
      <c r="Q161" s="58" t="s">
        <v>19</v>
      </c>
      <c r="R161" s="160"/>
      <c r="S161" s="60" t="s">
        <v>0</v>
      </c>
      <c r="T161" s="1">
        <f t="shared" si="58"/>
        <v>0</v>
      </c>
      <c r="U161" s="1">
        <f t="shared" si="58"/>
        <v>2053.5</v>
      </c>
      <c r="V161" s="1">
        <f t="shared" si="58"/>
        <v>599.29999999999995</v>
      </c>
      <c r="W161" s="1">
        <f t="shared" si="58"/>
        <v>599.29999999999995</v>
      </c>
      <c r="X161" s="1">
        <f t="shared" si="58"/>
        <v>599.29999999999995</v>
      </c>
      <c r="Y161" s="1">
        <f t="shared" si="58"/>
        <v>599.29999999999995</v>
      </c>
      <c r="Z161" s="1">
        <f t="shared" si="58"/>
        <v>599.29999999999995</v>
      </c>
      <c r="AA161" s="64">
        <f>T161+U161+V161+W161+X161+Y161</f>
        <v>4450.7000000000007</v>
      </c>
      <c r="AB161" s="63">
        <v>2023</v>
      </c>
      <c r="AC161" s="111"/>
    </row>
    <row r="162" spans="1:30" s="81" customFormat="1" ht="78.75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83" t="s">
        <v>194</v>
      </c>
      <c r="S162" s="67" t="s">
        <v>53</v>
      </c>
      <c r="T162" s="3">
        <f>T198</f>
        <v>58.6</v>
      </c>
      <c r="U162" s="3">
        <f t="shared" ref="U162:Z162" si="59">U198+U191+U184+U177+U170</f>
        <v>37.200000000000003</v>
      </c>
      <c r="V162" s="3">
        <f t="shared" si="59"/>
        <v>15.100000000000001</v>
      </c>
      <c r="W162" s="3">
        <f t="shared" si="59"/>
        <v>15.100000000000001</v>
      </c>
      <c r="X162" s="3">
        <f t="shared" si="59"/>
        <v>15.100000000000001</v>
      </c>
      <c r="Y162" s="3">
        <f t="shared" si="59"/>
        <v>15.100000000000001</v>
      </c>
      <c r="Z162" s="3">
        <f t="shared" si="59"/>
        <v>15.100000000000001</v>
      </c>
      <c r="AA162" s="6">
        <f>SUM(T162:Z162)</f>
        <v>171.29999999999998</v>
      </c>
      <c r="AB162" s="42">
        <v>2024</v>
      </c>
      <c r="AC162" s="111"/>
    </row>
    <row r="163" spans="1:30" s="81" customFormat="1" ht="31.15" hidden="1" customHeight="1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84" t="s">
        <v>52</v>
      </c>
      <c r="S163" s="67"/>
      <c r="T163" s="3">
        <f>T199</f>
        <v>28</v>
      </c>
      <c r="U163" s="3"/>
      <c r="V163" s="3"/>
      <c r="W163" s="3"/>
      <c r="X163" s="3"/>
      <c r="Y163" s="3"/>
      <c r="Z163" s="3"/>
      <c r="AA163" s="6"/>
      <c r="AB163" s="42"/>
      <c r="AC163" s="111"/>
    </row>
    <row r="164" spans="1:30" s="81" customFormat="1" ht="47.25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85" t="s">
        <v>195</v>
      </c>
      <c r="S164" s="67" t="s">
        <v>39</v>
      </c>
      <c r="T164" s="45">
        <f>T199</f>
        <v>28</v>
      </c>
      <c r="U164" s="45">
        <f>U171+U178+U185+U192+U199</f>
        <v>20</v>
      </c>
      <c r="V164" s="45">
        <f>V171+V178+V185+V192</f>
        <v>11</v>
      </c>
      <c r="W164" s="45">
        <f>W171+W178+W185+W192</f>
        <v>11</v>
      </c>
      <c r="X164" s="45">
        <f>X171+X178+X185+X192</f>
        <v>11</v>
      </c>
      <c r="Y164" s="45">
        <f>Y171+Y178+Y185+Y192</f>
        <v>11</v>
      </c>
      <c r="Z164" s="45">
        <f>Z171+Z178+Z185+Z192</f>
        <v>11</v>
      </c>
      <c r="AA164" s="53">
        <f>SUM(T164:Z164)</f>
        <v>103</v>
      </c>
      <c r="AB164" s="42">
        <v>2024</v>
      </c>
      <c r="AC164" s="111"/>
      <c r="AD164" s="86"/>
    </row>
    <row r="165" spans="1:30" s="142" customFormat="1" ht="63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104" t="s">
        <v>323</v>
      </c>
      <c r="S165" s="56" t="s">
        <v>39</v>
      </c>
      <c r="T165" s="45">
        <v>0</v>
      </c>
      <c r="U165" s="45">
        <f>U172+U179+U186+U193</f>
        <v>20</v>
      </c>
      <c r="V165" s="45">
        <v>0</v>
      </c>
      <c r="W165" s="45">
        <v>0</v>
      </c>
      <c r="X165" s="45">
        <v>0</v>
      </c>
      <c r="Y165" s="45">
        <v>0</v>
      </c>
      <c r="Z165" s="45">
        <v>0</v>
      </c>
      <c r="AA165" s="53">
        <f>SUM(T165:Z165)</f>
        <v>20</v>
      </c>
      <c r="AB165" s="42">
        <v>2019</v>
      </c>
      <c r="AC165" s="119"/>
      <c r="AD165" s="141"/>
    </row>
    <row r="166" spans="1:30" s="81" customFormat="1" x14ac:dyDescent="0.2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158" t="s">
        <v>141</v>
      </c>
      <c r="S166" s="60" t="s">
        <v>0</v>
      </c>
      <c r="T166" s="64">
        <f>SUM(T168:T169)</f>
        <v>0</v>
      </c>
      <c r="U166" s="64">
        <f>SUM(U167:U169)</f>
        <v>21649.4</v>
      </c>
      <c r="V166" s="64">
        <f t="shared" ref="V166:Z166" si="60">SUM(V167:V169)</f>
        <v>1700</v>
      </c>
      <c r="W166" s="64">
        <f t="shared" si="60"/>
        <v>1700</v>
      </c>
      <c r="X166" s="64">
        <f t="shared" si="60"/>
        <v>1700</v>
      </c>
      <c r="Y166" s="64">
        <f t="shared" si="60"/>
        <v>1700</v>
      </c>
      <c r="Z166" s="64">
        <f t="shared" si="60"/>
        <v>1700</v>
      </c>
      <c r="AA166" s="64">
        <f>SUM(T166:Z166)</f>
        <v>30149.4</v>
      </c>
      <c r="AB166" s="63">
        <v>2024</v>
      </c>
      <c r="AC166" s="111"/>
      <c r="AD166" s="86"/>
    </row>
    <row r="167" spans="1:30" s="81" customFormat="1" x14ac:dyDescent="0.25">
      <c r="A167" s="58" t="s">
        <v>19</v>
      </c>
      <c r="B167" s="58" t="s">
        <v>19</v>
      </c>
      <c r="C167" s="58" t="s">
        <v>23</v>
      </c>
      <c r="D167" s="58" t="s">
        <v>19</v>
      </c>
      <c r="E167" s="58" t="s">
        <v>25</v>
      </c>
      <c r="F167" s="58" t="s">
        <v>19</v>
      </c>
      <c r="G167" s="58" t="s">
        <v>44</v>
      </c>
      <c r="H167" s="58" t="s">
        <v>20</v>
      </c>
      <c r="I167" s="58" t="s">
        <v>25</v>
      </c>
      <c r="J167" s="58" t="s">
        <v>19</v>
      </c>
      <c r="K167" s="58" t="s">
        <v>19</v>
      </c>
      <c r="L167" s="58" t="s">
        <v>21</v>
      </c>
      <c r="M167" s="58" t="s">
        <v>20</v>
      </c>
      <c r="N167" s="58" t="s">
        <v>19</v>
      </c>
      <c r="O167" s="58" t="s">
        <v>186</v>
      </c>
      <c r="P167" s="58" t="s">
        <v>22</v>
      </c>
      <c r="Q167" s="58" t="s">
        <v>26</v>
      </c>
      <c r="R167" s="159"/>
      <c r="S167" s="60" t="s">
        <v>0</v>
      </c>
      <c r="T167" s="1">
        <v>0</v>
      </c>
      <c r="U167" s="1">
        <v>16800.099999999999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64">
        <f t="shared" ref="AA167" si="61">SUM(T167:Z167)</f>
        <v>16800.099999999999</v>
      </c>
      <c r="AB167" s="63">
        <v>2024</v>
      </c>
      <c r="AC167" s="111"/>
      <c r="AD167" s="86"/>
    </row>
    <row r="168" spans="1:30" s="81" customFormat="1" x14ac:dyDescent="0.25">
      <c r="A168" s="58" t="s">
        <v>19</v>
      </c>
      <c r="B168" s="58" t="s">
        <v>19</v>
      </c>
      <c r="C168" s="58" t="s">
        <v>23</v>
      </c>
      <c r="D168" s="58" t="s">
        <v>19</v>
      </c>
      <c r="E168" s="58" t="s">
        <v>25</v>
      </c>
      <c r="F168" s="58" t="s">
        <v>19</v>
      </c>
      <c r="G168" s="58" t="s">
        <v>44</v>
      </c>
      <c r="H168" s="58" t="s">
        <v>20</v>
      </c>
      <c r="I168" s="58" t="s">
        <v>25</v>
      </c>
      <c r="J168" s="58" t="s">
        <v>19</v>
      </c>
      <c r="K168" s="58" t="s">
        <v>19</v>
      </c>
      <c r="L168" s="58" t="s">
        <v>21</v>
      </c>
      <c r="M168" s="58" t="s">
        <v>38</v>
      </c>
      <c r="N168" s="58" t="s">
        <v>19</v>
      </c>
      <c r="O168" s="58" t="s">
        <v>186</v>
      </c>
      <c r="P168" s="58" t="s">
        <v>22</v>
      </c>
      <c r="Q168" s="58" t="s">
        <v>26</v>
      </c>
      <c r="R168" s="159"/>
      <c r="S168" s="60" t="s">
        <v>0</v>
      </c>
      <c r="T168" s="1">
        <v>0</v>
      </c>
      <c r="U168" s="1">
        <v>4199.8999999999996</v>
      </c>
      <c r="V168" s="1">
        <v>1535.7</v>
      </c>
      <c r="W168" s="1">
        <v>1535.7</v>
      </c>
      <c r="X168" s="1">
        <v>1535.7</v>
      </c>
      <c r="Y168" s="1">
        <v>1535.7</v>
      </c>
      <c r="Z168" s="1">
        <v>1535.7</v>
      </c>
      <c r="AA168" s="64">
        <f t="shared" ref="AA168:AA169" si="62">SUM(T168:Z168)</f>
        <v>11878.400000000001</v>
      </c>
      <c r="AB168" s="63">
        <v>2024</v>
      </c>
      <c r="AC168" s="111"/>
      <c r="AD168" s="86"/>
    </row>
    <row r="169" spans="1:30" s="81" customFormat="1" x14ac:dyDescent="0.25">
      <c r="A169" s="58" t="s">
        <v>19</v>
      </c>
      <c r="B169" s="58" t="s">
        <v>19</v>
      </c>
      <c r="C169" s="58" t="s">
        <v>23</v>
      </c>
      <c r="D169" s="58" t="s">
        <v>19</v>
      </c>
      <c r="E169" s="58" t="s">
        <v>25</v>
      </c>
      <c r="F169" s="58" t="s">
        <v>19</v>
      </c>
      <c r="G169" s="58" t="s">
        <v>44</v>
      </c>
      <c r="H169" s="58" t="s">
        <v>20</v>
      </c>
      <c r="I169" s="58" t="s">
        <v>25</v>
      </c>
      <c r="J169" s="58" t="s">
        <v>19</v>
      </c>
      <c r="K169" s="58" t="s">
        <v>19</v>
      </c>
      <c r="L169" s="58" t="s">
        <v>21</v>
      </c>
      <c r="M169" s="58" t="s">
        <v>19</v>
      </c>
      <c r="N169" s="58" t="s">
        <v>19</v>
      </c>
      <c r="O169" s="58" t="s">
        <v>19</v>
      </c>
      <c r="P169" s="58" t="s">
        <v>19</v>
      </c>
      <c r="Q169" s="58" t="s">
        <v>19</v>
      </c>
      <c r="R169" s="160"/>
      <c r="S169" s="60" t="s">
        <v>0</v>
      </c>
      <c r="T169" s="1">
        <v>0</v>
      </c>
      <c r="U169" s="1">
        <f>164.3-164.3+200+449.4</f>
        <v>649.4</v>
      </c>
      <c r="V169" s="1">
        <v>164.3</v>
      </c>
      <c r="W169" s="1">
        <v>164.3</v>
      </c>
      <c r="X169" s="1">
        <v>164.3</v>
      </c>
      <c r="Y169" s="1">
        <v>164.3</v>
      </c>
      <c r="Z169" s="1">
        <v>164.3</v>
      </c>
      <c r="AA169" s="64">
        <f t="shared" si="62"/>
        <v>1470.8999999999999</v>
      </c>
      <c r="AB169" s="63">
        <v>2024</v>
      </c>
      <c r="AC169" s="111"/>
      <c r="AD169" s="86"/>
    </row>
    <row r="170" spans="1:30" s="81" customFormat="1" ht="78.75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83" t="s">
        <v>312</v>
      </c>
      <c r="S170" s="67" t="s">
        <v>43</v>
      </c>
      <c r="T170" s="3">
        <v>0</v>
      </c>
      <c r="U170" s="3">
        <v>10.7</v>
      </c>
      <c r="V170" s="3">
        <v>4.3</v>
      </c>
      <c r="W170" s="3">
        <v>4.3</v>
      </c>
      <c r="X170" s="3">
        <v>4.3</v>
      </c>
      <c r="Y170" s="3">
        <v>4.3</v>
      </c>
      <c r="Z170" s="3">
        <v>4.3</v>
      </c>
      <c r="AA170" s="6">
        <f>SUM(T170:Z170)</f>
        <v>32.200000000000003</v>
      </c>
      <c r="AB170" s="42">
        <v>2024</v>
      </c>
      <c r="AC170" s="111"/>
    </row>
    <row r="171" spans="1:30" s="81" customFormat="1" ht="47.25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85" t="s">
        <v>313</v>
      </c>
      <c r="S171" s="67" t="s">
        <v>39</v>
      </c>
      <c r="T171" s="45">
        <v>0</v>
      </c>
      <c r="U171" s="45">
        <v>8</v>
      </c>
      <c r="V171" s="45">
        <v>4</v>
      </c>
      <c r="W171" s="45">
        <v>4</v>
      </c>
      <c r="X171" s="45">
        <v>4</v>
      </c>
      <c r="Y171" s="45">
        <v>4</v>
      </c>
      <c r="Z171" s="45">
        <v>4</v>
      </c>
      <c r="AA171" s="53">
        <f>SUM(T171:Z171)</f>
        <v>28</v>
      </c>
      <c r="AB171" s="42">
        <v>2024</v>
      </c>
      <c r="AC171" s="111"/>
      <c r="AD171" s="86"/>
    </row>
    <row r="172" spans="1:30" s="142" customFormat="1" ht="61.15" customHeight="1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104" t="s">
        <v>324</v>
      </c>
      <c r="S172" s="56" t="s">
        <v>39</v>
      </c>
      <c r="T172" s="45">
        <v>0</v>
      </c>
      <c r="U172" s="45">
        <v>8</v>
      </c>
      <c r="V172" s="45">
        <v>0</v>
      </c>
      <c r="W172" s="45">
        <v>0</v>
      </c>
      <c r="X172" s="45">
        <v>0</v>
      </c>
      <c r="Y172" s="45">
        <v>0</v>
      </c>
      <c r="Z172" s="45">
        <v>0</v>
      </c>
      <c r="AA172" s="53">
        <f>SUM(T172:Z172)</f>
        <v>8</v>
      </c>
      <c r="AB172" s="42">
        <v>2019</v>
      </c>
      <c r="AC172" s="119"/>
      <c r="AD172" s="141"/>
    </row>
    <row r="173" spans="1:30" s="81" customFormat="1" x14ac:dyDescent="0.2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158" t="s">
        <v>141</v>
      </c>
      <c r="S173" s="60" t="s">
        <v>0</v>
      </c>
      <c r="T173" s="64">
        <f>T175+T176</f>
        <v>0</v>
      </c>
      <c r="U173" s="64">
        <f>SUM(U174:U176)</f>
        <v>18485.2</v>
      </c>
      <c r="V173" s="64">
        <f t="shared" ref="V173:Z173" si="63">SUM(V174:V176)</f>
        <v>1500</v>
      </c>
      <c r="W173" s="64">
        <f t="shared" si="63"/>
        <v>1500</v>
      </c>
      <c r="X173" s="64">
        <f t="shared" si="63"/>
        <v>1500</v>
      </c>
      <c r="Y173" s="64">
        <f t="shared" si="63"/>
        <v>1500</v>
      </c>
      <c r="Z173" s="64">
        <f t="shared" si="63"/>
        <v>1500</v>
      </c>
      <c r="AA173" s="64">
        <f>SUM(T173:Z173)</f>
        <v>25985.200000000001</v>
      </c>
      <c r="AB173" s="63">
        <v>2024</v>
      </c>
      <c r="AC173" s="111"/>
    </row>
    <row r="174" spans="1:30" s="81" customFormat="1" x14ac:dyDescent="0.25">
      <c r="A174" s="58" t="s">
        <v>19</v>
      </c>
      <c r="B174" s="58" t="s">
        <v>19</v>
      </c>
      <c r="C174" s="58" t="s">
        <v>25</v>
      </c>
      <c r="D174" s="58" t="s">
        <v>19</v>
      </c>
      <c r="E174" s="58" t="s">
        <v>25</v>
      </c>
      <c r="F174" s="58" t="s">
        <v>19</v>
      </c>
      <c r="G174" s="58" t="s">
        <v>44</v>
      </c>
      <c r="H174" s="58" t="s">
        <v>20</v>
      </c>
      <c r="I174" s="58" t="s">
        <v>25</v>
      </c>
      <c r="J174" s="58" t="s">
        <v>19</v>
      </c>
      <c r="K174" s="58" t="s">
        <v>19</v>
      </c>
      <c r="L174" s="58" t="s">
        <v>21</v>
      </c>
      <c r="M174" s="58" t="s">
        <v>20</v>
      </c>
      <c r="N174" s="58" t="s">
        <v>19</v>
      </c>
      <c r="O174" s="58" t="s">
        <v>186</v>
      </c>
      <c r="P174" s="58" t="s">
        <v>22</v>
      </c>
      <c r="Q174" s="58" t="s">
        <v>26</v>
      </c>
      <c r="R174" s="159"/>
      <c r="S174" s="60" t="s">
        <v>0</v>
      </c>
      <c r="T174" s="1">
        <f>T176+T177</f>
        <v>0</v>
      </c>
      <c r="U174" s="1">
        <v>14400.1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64">
        <f t="shared" ref="AA174:AA176" si="64">SUM(T174:Z174)</f>
        <v>14400.1</v>
      </c>
      <c r="AB174" s="63">
        <v>2024</v>
      </c>
      <c r="AC174" s="111"/>
    </row>
    <row r="175" spans="1:30" s="81" customFormat="1" x14ac:dyDescent="0.25">
      <c r="A175" s="58" t="s">
        <v>19</v>
      </c>
      <c r="B175" s="58" t="s">
        <v>19</v>
      </c>
      <c r="C175" s="58" t="s">
        <v>25</v>
      </c>
      <c r="D175" s="58" t="s">
        <v>19</v>
      </c>
      <c r="E175" s="58" t="s">
        <v>25</v>
      </c>
      <c r="F175" s="58" t="s">
        <v>19</v>
      </c>
      <c r="G175" s="58" t="s">
        <v>44</v>
      </c>
      <c r="H175" s="58" t="s">
        <v>20</v>
      </c>
      <c r="I175" s="58" t="s">
        <v>25</v>
      </c>
      <c r="J175" s="58" t="s">
        <v>19</v>
      </c>
      <c r="K175" s="58" t="s">
        <v>19</v>
      </c>
      <c r="L175" s="58" t="s">
        <v>21</v>
      </c>
      <c r="M175" s="58" t="s">
        <v>38</v>
      </c>
      <c r="N175" s="58" t="s">
        <v>19</v>
      </c>
      <c r="O175" s="58" t="s">
        <v>186</v>
      </c>
      <c r="P175" s="58" t="s">
        <v>22</v>
      </c>
      <c r="Q175" s="58" t="s">
        <v>26</v>
      </c>
      <c r="R175" s="159"/>
      <c r="S175" s="60" t="s">
        <v>0</v>
      </c>
      <c r="T175" s="1">
        <v>0</v>
      </c>
      <c r="U175" s="1">
        <v>3599.9</v>
      </c>
      <c r="V175" s="1">
        <v>1355</v>
      </c>
      <c r="W175" s="1">
        <v>1355</v>
      </c>
      <c r="X175" s="1">
        <v>1355</v>
      </c>
      <c r="Y175" s="1">
        <v>1355</v>
      </c>
      <c r="Z175" s="1">
        <v>1355</v>
      </c>
      <c r="AA175" s="64">
        <f t="shared" si="64"/>
        <v>10374.9</v>
      </c>
      <c r="AB175" s="63">
        <v>2024</v>
      </c>
      <c r="AC175" s="111"/>
    </row>
    <row r="176" spans="1:30" s="81" customFormat="1" x14ac:dyDescent="0.25">
      <c r="A176" s="58" t="s">
        <v>19</v>
      </c>
      <c r="B176" s="58" t="s">
        <v>19</v>
      </c>
      <c r="C176" s="58" t="s">
        <v>25</v>
      </c>
      <c r="D176" s="58" t="s">
        <v>19</v>
      </c>
      <c r="E176" s="58" t="s">
        <v>25</v>
      </c>
      <c r="F176" s="58" t="s">
        <v>19</v>
      </c>
      <c r="G176" s="58" t="s">
        <v>44</v>
      </c>
      <c r="H176" s="58" t="s">
        <v>20</v>
      </c>
      <c r="I176" s="58" t="s">
        <v>25</v>
      </c>
      <c r="J176" s="58" t="s">
        <v>19</v>
      </c>
      <c r="K176" s="58" t="s">
        <v>19</v>
      </c>
      <c r="L176" s="58" t="s">
        <v>21</v>
      </c>
      <c r="M176" s="58" t="s">
        <v>19</v>
      </c>
      <c r="N176" s="58" t="s">
        <v>19</v>
      </c>
      <c r="O176" s="58" t="s">
        <v>19</v>
      </c>
      <c r="P176" s="58" t="s">
        <v>19</v>
      </c>
      <c r="Q176" s="58" t="s">
        <v>19</v>
      </c>
      <c r="R176" s="160"/>
      <c r="S176" s="60" t="s">
        <v>0</v>
      </c>
      <c r="T176" s="1">
        <v>0</v>
      </c>
      <c r="U176" s="1">
        <f>145-145+100+385.2</f>
        <v>485.2</v>
      </c>
      <c r="V176" s="1">
        <v>145</v>
      </c>
      <c r="W176" s="1">
        <v>145</v>
      </c>
      <c r="X176" s="1">
        <v>145</v>
      </c>
      <c r="Y176" s="1">
        <v>145</v>
      </c>
      <c r="Z176" s="1">
        <v>145</v>
      </c>
      <c r="AA176" s="64">
        <f t="shared" si="64"/>
        <v>1210.2</v>
      </c>
      <c r="AB176" s="63">
        <v>2024</v>
      </c>
      <c r="AC176" s="111"/>
    </row>
    <row r="177" spans="1:30" s="81" customFormat="1" ht="78.75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83" t="s">
        <v>314</v>
      </c>
      <c r="S177" s="67" t="s">
        <v>53</v>
      </c>
      <c r="T177" s="3">
        <v>0</v>
      </c>
      <c r="U177" s="3">
        <v>10.6</v>
      </c>
      <c r="V177" s="3">
        <v>3.5</v>
      </c>
      <c r="W177" s="3">
        <v>3.5</v>
      </c>
      <c r="X177" s="3">
        <v>3.5</v>
      </c>
      <c r="Y177" s="3">
        <v>3.5</v>
      </c>
      <c r="Z177" s="3">
        <v>3.5</v>
      </c>
      <c r="AA177" s="6">
        <f>SUM(T177:Z177)</f>
        <v>28.1</v>
      </c>
      <c r="AB177" s="42">
        <v>2024</v>
      </c>
      <c r="AC177" s="111"/>
    </row>
    <row r="178" spans="1:30" s="81" customFormat="1" ht="47.25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85" t="s">
        <v>315</v>
      </c>
      <c r="S178" s="67" t="s">
        <v>39</v>
      </c>
      <c r="T178" s="45">
        <v>0</v>
      </c>
      <c r="U178" s="45">
        <v>4</v>
      </c>
      <c r="V178" s="45">
        <v>2</v>
      </c>
      <c r="W178" s="45">
        <v>2</v>
      </c>
      <c r="X178" s="45">
        <v>2</v>
      </c>
      <c r="Y178" s="45">
        <v>2</v>
      </c>
      <c r="Z178" s="45">
        <v>2</v>
      </c>
      <c r="AA178" s="53">
        <f>SUM(T178:Z178)</f>
        <v>14</v>
      </c>
      <c r="AB178" s="42">
        <v>2024</v>
      </c>
      <c r="AC178" s="111"/>
      <c r="AD178" s="86"/>
    </row>
    <row r="179" spans="1:30" s="142" customFormat="1" ht="64.150000000000006" customHeight="1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104" t="s">
        <v>325</v>
      </c>
      <c r="S179" s="56" t="s">
        <v>39</v>
      </c>
      <c r="T179" s="45">
        <v>0</v>
      </c>
      <c r="U179" s="45">
        <v>4</v>
      </c>
      <c r="V179" s="45">
        <v>0</v>
      </c>
      <c r="W179" s="45">
        <v>0</v>
      </c>
      <c r="X179" s="45">
        <v>0</v>
      </c>
      <c r="Y179" s="45">
        <v>0</v>
      </c>
      <c r="Z179" s="45">
        <v>0</v>
      </c>
      <c r="AA179" s="53">
        <f>SUM(T179:Z179)</f>
        <v>4</v>
      </c>
      <c r="AB179" s="42">
        <v>2019</v>
      </c>
      <c r="AC179" s="119"/>
      <c r="AD179" s="141"/>
    </row>
    <row r="180" spans="1:30" s="81" customFormat="1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158" t="s">
        <v>141</v>
      </c>
      <c r="S180" s="60" t="s">
        <v>0</v>
      </c>
      <c r="T180" s="64">
        <f>T182+T183</f>
        <v>0</v>
      </c>
      <c r="U180" s="64">
        <f>SUM(U181:U183)</f>
        <v>22150.399999999998</v>
      </c>
      <c r="V180" s="64">
        <f t="shared" ref="V180:Z180" si="65">SUM(V181:V183)</f>
        <v>1500</v>
      </c>
      <c r="W180" s="64">
        <f t="shared" si="65"/>
        <v>1500</v>
      </c>
      <c r="X180" s="64">
        <f t="shared" si="65"/>
        <v>1500</v>
      </c>
      <c r="Y180" s="64">
        <f t="shared" si="65"/>
        <v>1500</v>
      </c>
      <c r="Z180" s="64">
        <f t="shared" si="65"/>
        <v>1500</v>
      </c>
      <c r="AA180" s="64">
        <f>SUM(T180:Z180)</f>
        <v>29650.399999999998</v>
      </c>
      <c r="AB180" s="63">
        <v>2024</v>
      </c>
      <c r="AC180" s="111"/>
    </row>
    <row r="181" spans="1:30" s="81" customFormat="1" x14ac:dyDescent="0.25">
      <c r="A181" s="58" t="s">
        <v>19</v>
      </c>
      <c r="B181" s="58" t="s">
        <v>19</v>
      </c>
      <c r="C181" s="58" t="s">
        <v>22</v>
      </c>
      <c r="D181" s="58" t="s">
        <v>19</v>
      </c>
      <c r="E181" s="58" t="s">
        <v>25</v>
      </c>
      <c r="F181" s="58" t="s">
        <v>19</v>
      </c>
      <c r="G181" s="58" t="s">
        <v>44</v>
      </c>
      <c r="H181" s="58" t="s">
        <v>20</v>
      </c>
      <c r="I181" s="58" t="s">
        <v>25</v>
      </c>
      <c r="J181" s="58" t="s">
        <v>19</v>
      </c>
      <c r="K181" s="58" t="s">
        <v>19</v>
      </c>
      <c r="L181" s="58" t="s">
        <v>21</v>
      </c>
      <c r="M181" s="58" t="s">
        <v>20</v>
      </c>
      <c r="N181" s="58" t="s">
        <v>19</v>
      </c>
      <c r="O181" s="58" t="s">
        <v>186</v>
      </c>
      <c r="P181" s="58" t="s">
        <v>22</v>
      </c>
      <c r="Q181" s="58" t="s">
        <v>26</v>
      </c>
      <c r="R181" s="159"/>
      <c r="S181" s="60" t="s">
        <v>0</v>
      </c>
      <c r="T181" s="1">
        <v>0</v>
      </c>
      <c r="U181" s="1">
        <v>16800.099999999999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64">
        <f t="shared" ref="AA181:AA182" si="66">SUM(T181:Z181)</f>
        <v>16800.099999999999</v>
      </c>
      <c r="AB181" s="63">
        <v>2024</v>
      </c>
      <c r="AC181" s="111"/>
    </row>
    <row r="182" spans="1:30" s="81" customFormat="1" x14ac:dyDescent="0.25">
      <c r="A182" s="58" t="s">
        <v>19</v>
      </c>
      <c r="B182" s="58" t="s">
        <v>19</v>
      </c>
      <c r="C182" s="58" t="s">
        <v>22</v>
      </c>
      <c r="D182" s="58" t="s">
        <v>19</v>
      </c>
      <c r="E182" s="58" t="s">
        <v>25</v>
      </c>
      <c r="F182" s="58" t="s">
        <v>19</v>
      </c>
      <c r="G182" s="58" t="s">
        <v>44</v>
      </c>
      <c r="H182" s="58" t="s">
        <v>20</v>
      </c>
      <c r="I182" s="58" t="s">
        <v>25</v>
      </c>
      <c r="J182" s="58" t="s">
        <v>19</v>
      </c>
      <c r="K182" s="58" t="s">
        <v>19</v>
      </c>
      <c r="L182" s="58" t="s">
        <v>21</v>
      </c>
      <c r="M182" s="58" t="s">
        <v>38</v>
      </c>
      <c r="N182" s="58" t="s">
        <v>19</v>
      </c>
      <c r="O182" s="58" t="s">
        <v>186</v>
      </c>
      <c r="P182" s="58" t="s">
        <v>22</v>
      </c>
      <c r="Q182" s="58" t="s">
        <v>26</v>
      </c>
      <c r="R182" s="159"/>
      <c r="S182" s="60" t="s">
        <v>0</v>
      </c>
      <c r="T182" s="1">
        <v>0</v>
      </c>
      <c r="U182" s="1">
        <f>4199.9+588.4</f>
        <v>4788.2999999999993</v>
      </c>
      <c r="V182" s="1">
        <v>1355</v>
      </c>
      <c r="W182" s="1">
        <v>1355</v>
      </c>
      <c r="X182" s="1">
        <v>1355</v>
      </c>
      <c r="Y182" s="1">
        <v>1355</v>
      </c>
      <c r="Z182" s="1">
        <v>1355</v>
      </c>
      <c r="AA182" s="64">
        <f t="shared" si="66"/>
        <v>11563.3</v>
      </c>
      <c r="AB182" s="63">
        <v>2024</v>
      </c>
      <c r="AC182" s="111"/>
    </row>
    <row r="183" spans="1:30" s="81" customFormat="1" x14ac:dyDescent="0.25">
      <c r="A183" s="58" t="s">
        <v>19</v>
      </c>
      <c r="B183" s="58" t="s">
        <v>19</v>
      </c>
      <c r="C183" s="58" t="s">
        <v>22</v>
      </c>
      <c r="D183" s="58" t="s">
        <v>19</v>
      </c>
      <c r="E183" s="58" t="s">
        <v>25</v>
      </c>
      <c r="F183" s="58" t="s">
        <v>19</v>
      </c>
      <c r="G183" s="58" t="s">
        <v>44</v>
      </c>
      <c r="H183" s="58" t="s">
        <v>20</v>
      </c>
      <c r="I183" s="58" t="s">
        <v>25</v>
      </c>
      <c r="J183" s="58" t="s">
        <v>19</v>
      </c>
      <c r="K183" s="58" t="s">
        <v>19</v>
      </c>
      <c r="L183" s="58" t="s">
        <v>21</v>
      </c>
      <c r="M183" s="58" t="s">
        <v>19</v>
      </c>
      <c r="N183" s="58" t="s">
        <v>19</v>
      </c>
      <c r="O183" s="58" t="s">
        <v>19</v>
      </c>
      <c r="P183" s="58" t="s">
        <v>19</v>
      </c>
      <c r="Q183" s="58" t="s">
        <v>19</v>
      </c>
      <c r="R183" s="160"/>
      <c r="S183" s="60" t="s">
        <v>0</v>
      </c>
      <c r="T183" s="1">
        <v>0</v>
      </c>
      <c r="U183" s="1">
        <f>145-145+100+449.4+12.6</f>
        <v>562</v>
      </c>
      <c r="V183" s="1">
        <v>145</v>
      </c>
      <c r="W183" s="1">
        <v>145</v>
      </c>
      <c r="X183" s="1">
        <v>145</v>
      </c>
      <c r="Y183" s="1">
        <v>145</v>
      </c>
      <c r="Z183" s="1">
        <v>145</v>
      </c>
      <c r="AA183" s="64">
        <f>SUM(T183:Z183)</f>
        <v>1287</v>
      </c>
      <c r="AB183" s="63">
        <v>2024</v>
      </c>
      <c r="AC183" s="111"/>
    </row>
    <row r="184" spans="1:30" s="81" customFormat="1" ht="78.75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83" t="s">
        <v>316</v>
      </c>
      <c r="S184" s="67" t="s">
        <v>53</v>
      </c>
      <c r="T184" s="45">
        <v>0</v>
      </c>
      <c r="U184" s="3">
        <v>11.8</v>
      </c>
      <c r="V184" s="3">
        <v>4.2</v>
      </c>
      <c r="W184" s="3">
        <v>4.2</v>
      </c>
      <c r="X184" s="3">
        <v>4.2</v>
      </c>
      <c r="Y184" s="3">
        <v>4.2</v>
      </c>
      <c r="Z184" s="3">
        <v>4.2</v>
      </c>
      <c r="AA184" s="53">
        <f>SUM(T184:Z184)</f>
        <v>32.799999999999997</v>
      </c>
      <c r="AB184" s="42">
        <v>2024</v>
      </c>
      <c r="AC184" s="111"/>
    </row>
    <row r="185" spans="1:30" s="81" customFormat="1" ht="47.25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85" t="s">
        <v>317</v>
      </c>
      <c r="S185" s="67" t="s">
        <v>39</v>
      </c>
      <c r="T185" s="45">
        <v>0</v>
      </c>
      <c r="U185" s="45">
        <v>3</v>
      </c>
      <c r="V185" s="45">
        <v>1</v>
      </c>
      <c r="W185" s="45">
        <v>1</v>
      </c>
      <c r="X185" s="45">
        <v>1</v>
      </c>
      <c r="Y185" s="45">
        <v>1</v>
      </c>
      <c r="Z185" s="45">
        <v>1</v>
      </c>
      <c r="AA185" s="53">
        <f>SUM(T185:Z185)</f>
        <v>8</v>
      </c>
      <c r="AB185" s="42">
        <v>2024</v>
      </c>
      <c r="AC185" s="111"/>
      <c r="AD185" s="86"/>
    </row>
    <row r="186" spans="1:30" s="142" customFormat="1" ht="64.900000000000006" customHeight="1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104" t="s">
        <v>326</v>
      </c>
      <c r="S186" s="56" t="s">
        <v>39</v>
      </c>
      <c r="T186" s="45">
        <v>0</v>
      </c>
      <c r="U186" s="45">
        <v>3</v>
      </c>
      <c r="V186" s="45">
        <v>0</v>
      </c>
      <c r="W186" s="45">
        <v>0</v>
      </c>
      <c r="X186" s="45">
        <v>0</v>
      </c>
      <c r="Y186" s="45">
        <v>0</v>
      </c>
      <c r="Z186" s="45">
        <v>0</v>
      </c>
      <c r="AA186" s="53">
        <f>SUM(T186:Z186)</f>
        <v>3</v>
      </c>
      <c r="AB186" s="42">
        <v>2019</v>
      </c>
      <c r="AC186" s="119"/>
      <c r="AD186" s="141"/>
    </row>
    <row r="187" spans="1:30" s="81" customFormat="1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158" t="s">
        <v>141</v>
      </c>
      <c r="S187" s="60" t="s">
        <v>0</v>
      </c>
      <c r="T187" s="64">
        <f>T189+T190</f>
        <v>0</v>
      </c>
      <c r="U187" s="64">
        <f>SUM(U188:U190)</f>
        <v>12357.9</v>
      </c>
      <c r="V187" s="64">
        <f t="shared" ref="V187:Z187" si="67">SUM(V188:V190)</f>
        <v>1500</v>
      </c>
      <c r="W187" s="64">
        <f t="shared" si="67"/>
        <v>1500</v>
      </c>
      <c r="X187" s="64">
        <f t="shared" si="67"/>
        <v>1500</v>
      </c>
      <c r="Y187" s="64">
        <f t="shared" si="67"/>
        <v>1500</v>
      </c>
      <c r="Z187" s="64">
        <f t="shared" si="67"/>
        <v>1500</v>
      </c>
      <c r="AA187" s="64">
        <f t="shared" ref="AA187:AA190" si="68">SUM(T187:Z187)</f>
        <v>19857.900000000001</v>
      </c>
      <c r="AB187" s="63">
        <v>2024</v>
      </c>
      <c r="AC187" s="111"/>
    </row>
    <row r="188" spans="1:30" s="81" customFormat="1" x14ac:dyDescent="0.25">
      <c r="A188" s="58" t="s">
        <v>19</v>
      </c>
      <c r="B188" s="58" t="s">
        <v>19</v>
      </c>
      <c r="C188" s="58" t="s">
        <v>26</v>
      </c>
      <c r="D188" s="58" t="s">
        <v>19</v>
      </c>
      <c r="E188" s="58" t="s">
        <v>25</v>
      </c>
      <c r="F188" s="58" t="s">
        <v>19</v>
      </c>
      <c r="G188" s="58" t="s">
        <v>44</v>
      </c>
      <c r="H188" s="58" t="s">
        <v>20</v>
      </c>
      <c r="I188" s="58" t="s">
        <v>25</v>
      </c>
      <c r="J188" s="58" t="s">
        <v>19</v>
      </c>
      <c r="K188" s="58" t="s">
        <v>19</v>
      </c>
      <c r="L188" s="58" t="s">
        <v>21</v>
      </c>
      <c r="M188" s="58" t="s">
        <v>20</v>
      </c>
      <c r="N188" s="58" t="s">
        <v>19</v>
      </c>
      <c r="O188" s="58" t="s">
        <v>186</v>
      </c>
      <c r="P188" s="58" t="s">
        <v>22</v>
      </c>
      <c r="Q188" s="58" t="s">
        <v>26</v>
      </c>
      <c r="R188" s="159"/>
      <c r="S188" s="60" t="s">
        <v>0</v>
      </c>
      <c r="T188" s="1">
        <v>0</v>
      </c>
      <c r="U188" s="1">
        <v>9600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64">
        <f t="shared" si="68"/>
        <v>9600</v>
      </c>
      <c r="AB188" s="63">
        <v>2024</v>
      </c>
      <c r="AC188" s="111"/>
    </row>
    <row r="189" spans="1:30" s="81" customFormat="1" x14ac:dyDescent="0.25">
      <c r="A189" s="58" t="s">
        <v>19</v>
      </c>
      <c r="B189" s="58" t="s">
        <v>19</v>
      </c>
      <c r="C189" s="58" t="s">
        <v>26</v>
      </c>
      <c r="D189" s="58" t="s">
        <v>19</v>
      </c>
      <c r="E189" s="58" t="s">
        <v>25</v>
      </c>
      <c r="F189" s="58" t="s">
        <v>19</v>
      </c>
      <c r="G189" s="58" t="s">
        <v>44</v>
      </c>
      <c r="H189" s="58" t="s">
        <v>20</v>
      </c>
      <c r="I189" s="58" t="s">
        <v>25</v>
      </c>
      <c r="J189" s="58" t="s">
        <v>19</v>
      </c>
      <c r="K189" s="58" t="s">
        <v>19</v>
      </c>
      <c r="L189" s="58" t="s">
        <v>21</v>
      </c>
      <c r="M189" s="58" t="s">
        <v>38</v>
      </c>
      <c r="N189" s="58" t="s">
        <v>19</v>
      </c>
      <c r="O189" s="58" t="s">
        <v>186</v>
      </c>
      <c r="P189" s="58" t="s">
        <v>22</v>
      </c>
      <c r="Q189" s="58" t="s">
        <v>26</v>
      </c>
      <c r="R189" s="159"/>
      <c r="S189" s="60" t="s">
        <v>0</v>
      </c>
      <c r="T189" s="1">
        <v>0</v>
      </c>
      <c r="U189" s="1">
        <v>2401</v>
      </c>
      <c r="V189" s="1">
        <v>1355</v>
      </c>
      <c r="W189" s="1">
        <v>1355</v>
      </c>
      <c r="X189" s="1">
        <v>1355</v>
      </c>
      <c r="Y189" s="1">
        <v>1355</v>
      </c>
      <c r="Z189" s="1">
        <v>1355</v>
      </c>
      <c r="AA189" s="64">
        <f t="shared" si="68"/>
        <v>9176</v>
      </c>
      <c r="AB189" s="63">
        <v>2024</v>
      </c>
      <c r="AC189" s="111"/>
    </row>
    <row r="190" spans="1:30" s="81" customFormat="1" x14ac:dyDescent="0.25">
      <c r="A190" s="58" t="s">
        <v>19</v>
      </c>
      <c r="B190" s="58" t="s">
        <v>19</v>
      </c>
      <c r="C190" s="58" t="s">
        <v>26</v>
      </c>
      <c r="D190" s="58" t="s">
        <v>19</v>
      </c>
      <c r="E190" s="58" t="s">
        <v>25</v>
      </c>
      <c r="F190" s="58" t="s">
        <v>19</v>
      </c>
      <c r="G190" s="58" t="s">
        <v>44</v>
      </c>
      <c r="H190" s="58" t="s">
        <v>20</v>
      </c>
      <c r="I190" s="58" t="s">
        <v>25</v>
      </c>
      <c r="J190" s="58" t="s">
        <v>19</v>
      </c>
      <c r="K190" s="58" t="s">
        <v>19</v>
      </c>
      <c r="L190" s="58" t="s">
        <v>21</v>
      </c>
      <c r="M190" s="58" t="s">
        <v>19</v>
      </c>
      <c r="N190" s="58" t="s">
        <v>19</v>
      </c>
      <c r="O190" s="58" t="s">
        <v>19</v>
      </c>
      <c r="P190" s="58" t="s">
        <v>19</v>
      </c>
      <c r="Q190" s="58" t="s">
        <v>19</v>
      </c>
      <c r="R190" s="160"/>
      <c r="S190" s="60" t="s">
        <v>0</v>
      </c>
      <c r="T190" s="1">
        <v>0</v>
      </c>
      <c r="U190" s="1">
        <v>356.9</v>
      </c>
      <c r="V190" s="1">
        <v>145</v>
      </c>
      <c r="W190" s="1">
        <v>145</v>
      </c>
      <c r="X190" s="1">
        <v>145</v>
      </c>
      <c r="Y190" s="1">
        <v>145</v>
      </c>
      <c r="Z190" s="1">
        <v>145</v>
      </c>
      <c r="AA190" s="64">
        <f t="shared" si="68"/>
        <v>1081.9000000000001</v>
      </c>
      <c r="AB190" s="63">
        <v>2024</v>
      </c>
      <c r="AC190" s="111"/>
    </row>
    <row r="191" spans="1:30" s="81" customFormat="1" ht="81.599999999999994" customHeight="1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83" t="s">
        <v>318</v>
      </c>
      <c r="S191" s="67" t="s">
        <v>53</v>
      </c>
      <c r="T191" s="3">
        <v>0</v>
      </c>
      <c r="U191" s="3">
        <v>4.0999999999999996</v>
      </c>
      <c r="V191" s="3">
        <v>3.1</v>
      </c>
      <c r="W191" s="3">
        <v>3.1</v>
      </c>
      <c r="X191" s="3">
        <v>3.1</v>
      </c>
      <c r="Y191" s="3">
        <v>3.1</v>
      </c>
      <c r="Z191" s="3">
        <v>3.1</v>
      </c>
      <c r="AA191" s="6">
        <f>SUM(T191:Z191)</f>
        <v>19.600000000000001</v>
      </c>
      <c r="AB191" s="42">
        <v>2024</v>
      </c>
      <c r="AC191" s="111"/>
    </row>
    <row r="192" spans="1:30" s="81" customFormat="1" ht="47.25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85" t="s">
        <v>319</v>
      </c>
      <c r="S192" s="67" t="s">
        <v>39</v>
      </c>
      <c r="T192" s="45">
        <v>0</v>
      </c>
      <c r="U192" s="45">
        <v>5</v>
      </c>
      <c r="V192" s="45">
        <v>4</v>
      </c>
      <c r="W192" s="45">
        <v>4</v>
      </c>
      <c r="X192" s="45">
        <v>4</v>
      </c>
      <c r="Y192" s="45">
        <v>4</v>
      </c>
      <c r="Z192" s="45">
        <v>4</v>
      </c>
      <c r="AA192" s="6">
        <f t="shared" ref="AA192:AA193" si="69">SUM(T192:Z192)</f>
        <v>25</v>
      </c>
      <c r="AB192" s="42">
        <v>2024</v>
      </c>
      <c r="AC192" s="111"/>
      <c r="AD192" s="86"/>
    </row>
    <row r="193" spans="1:31" s="142" customFormat="1" ht="63.6" customHeight="1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104" t="s">
        <v>327</v>
      </c>
      <c r="S193" s="56" t="s">
        <v>39</v>
      </c>
      <c r="T193" s="45">
        <v>0</v>
      </c>
      <c r="U193" s="45">
        <v>5</v>
      </c>
      <c r="V193" s="45">
        <v>0</v>
      </c>
      <c r="W193" s="45">
        <v>0</v>
      </c>
      <c r="X193" s="45">
        <v>0</v>
      </c>
      <c r="Y193" s="45">
        <v>0</v>
      </c>
      <c r="Z193" s="45">
        <v>0</v>
      </c>
      <c r="AA193" s="53">
        <f t="shared" si="69"/>
        <v>5</v>
      </c>
      <c r="AB193" s="42">
        <v>2019</v>
      </c>
      <c r="AC193" s="119"/>
      <c r="AD193" s="141"/>
    </row>
    <row r="194" spans="1:31" s="81" customFormat="1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158" t="s">
        <v>141</v>
      </c>
      <c r="S194" s="60" t="s">
        <v>0</v>
      </c>
      <c r="T194" s="64">
        <f t="shared" ref="T194:Y194" si="70">SUM(T195:T197)</f>
        <v>123487.5</v>
      </c>
      <c r="U194" s="64">
        <f t="shared" si="70"/>
        <v>579.5</v>
      </c>
      <c r="V194" s="64">
        <f t="shared" si="70"/>
        <v>0</v>
      </c>
      <c r="W194" s="64">
        <f t="shared" si="70"/>
        <v>0</v>
      </c>
      <c r="X194" s="64">
        <f t="shared" si="70"/>
        <v>0</v>
      </c>
      <c r="Y194" s="64">
        <f t="shared" si="70"/>
        <v>0</v>
      </c>
      <c r="Z194" s="64">
        <f t="shared" ref="Z194" si="71">SUM(Z195:Z197)</f>
        <v>0</v>
      </c>
      <c r="AA194" s="64">
        <f t="shared" ref="AA194:AA199" si="72">SUM(T194:Z194)</f>
        <v>124067</v>
      </c>
      <c r="AB194" s="63">
        <v>2019</v>
      </c>
      <c r="AC194" s="129"/>
    </row>
    <row r="195" spans="1:31" s="81" customFormat="1" x14ac:dyDescent="0.25">
      <c r="A195" s="58" t="s">
        <v>19</v>
      </c>
      <c r="B195" s="58" t="s">
        <v>20</v>
      </c>
      <c r="C195" s="58" t="s">
        <v>21</v>
      </c>
      <c r="D195" s="58" t="s">
        <v>19</v>
      </c>
      <c r="E195" s="58" t="s">
        <v>25</v>
      </c>
      <c r="F195" s="58" t="s">
        <v>19</v>
      </c>
      <c r="G195" s="58" t="s">
        <v>44</v>
      </c>
      <c r="H195" s="58" t="s">
        <v>20</v>
      </c>
      <c r="I195" s="58" t="s">
        <v>25</v>
      </c>
      <c r="J195" s="58" t="s">
        <v>19</v>
      </c>
      <c r="K195" s="58" t="s">
        <v>19</v>
      </c>
      <c r="L195" s="58" t="s">
        <v>21</v>
      </c>
      <c r="M195" s="58" t="s">
        <v>20</v>
      </c>
      <c r="N195" s="58" t="s">
        <v>19</v>
      </c>
      <c r="O195" s="58" t="s">
        <v>186</v>
      </c>
      <c r="P195" s="58" t="s">
        <v>22</v>
      </c>
      <c r="Q195" s="58" t="s">
        <v>26</v>
      </c>
      <c r="R195" s="159"/>
      <c r="S195" s="60" t="s">
        <v>0</v>
      </c>
      <c r="T195" s="1">
        <v>78128.899999999994</v>
      </c>
      <c r="U195" s="1">
        <f>57600.3-57600.3</f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64">
        <f t="shared" si="72"/>
        <v>78128.899999999994</v>
      </c>
      <c r="AB195" s="63">
        <v>2018</v>
      </c>
      <c r="AC195" s="33"/>
    </row>
    <row r="196" spans="1:31" s="81" customFormat="1" x14ac:dyDescent="0.25">
      <c r="A196" s="58" t="s">
        <v>19</v>
      </c>
      <c r="B196" s="58" t="s">
        <v>20</v>
      </c>
      <c r="C196" s="58" t="s">
        <v>21</v>
      </c>
      <c r="D196" s="58" t="s">
        <v>19</v>
      </c>
      <c r="E196" s="58" t="s">
        <v>25</v>
      </c>
      <c r="F196" s="58" t="s">
        <v>19</v>
      </c>
      <c r="G196" s="58" t="s">
        <v>44</v>
      </c>
      <c r="H196" s="58" t="s">
        <v>20</v>
      </c>
      <c r="I196" s="58" t="s">
        <v>25</v>
      </c>
      <c r="J196" s="58" t="s">
        <v>19</v>
      </c>
      <c r="K196" s="58" t="s">
        <v>19</v>
      </c>
      <c r="L196" s="58" t="s">
        <v>21</v>
      </c>
      <c r="M196" s="58" t="s">
        <v>38</v>
      </c>
      <c r="N196" s="58" t="s">
        <v>19</v>
      </c>
      <c r="O196" s="58" t="s">
        <v>186</v>
      </c>
      <c r="P196" s="58" t="s">
        <v>22</v>
      </c>
      <c r="Q196" s="58" t="s">
        <v>26</v>
      </c>
      <c r="R196" s="159"/>
      <c r="S196" s="60" t="s">
        <v>0</v>
      </c>
      <c r="T196" s="1">
        <f>18932.6+19997.4+4074.8+2495.5-26-605.7-796.8</f>
        <v>44071.8</v>
      </c>
      <c r="U196" s="1">
        <f>0+14400.7-14400.7</f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64">
        <f t="shared" si="72"/>
        <v>44071.8</v>
      </c>
      <c r="AB196" s="63">
        <v>2018</v>
      </c>
      <c r="AC196" s="33"/>
    </row>
    <row r="197" spans="1:31" s="81" customFormat="1" x14ac:dyDescent="0.25">
      <c r="A197" s="58" t="s">
        <v>19</v>
      </c>
      <c r="B197" s="58" t="s">
        <v>20</v>
      </c>
      <c r="C197" s="58" t="s">
        <v>21</v>
      </c>
      <c r="D197" s="58" t="s">
        <v>19</v>
      </c>
      <c r="E197" s="58" t="s">
        <v>25</v>
      </c>
      <c r="F197" s="58" t="s">
        <v>19</v>
      </c>
      <c r="G197" s="58" t="s">
        <v>44</v>
      </c>
      <c r="H197" s="58" t="s">
        <v>20</v>
      </c>
      <c r="I197" s="58" t="s">
        <v>25</v>
      </c>
      <c r="J197" s="58" t="s">
        <v>19</v>
      </c>
      <c r="K197" s="58" t="s">
        <v>19</v>
      </c>
      <c r="L197" s="58" t="s">
        <v>21</v>
      </c>
      <c r="M197" s="58" t="s">
        <v>19</v>
      </c>
      <c r="N197" s="58" t="s">
        <v>19</v>
      </c>
      <c r="O197" s="58" t="s">
        <v>19</v>
      </c>
      <c r="P197" s="58" t="s">
        <v>19</v>
      </c>
      <c r="Q197" s="58" t="s">
        <v>19</v>
      </c>
      <c r="R197" s="160"/>
      <c r="S197" s="60" t="s">
        <v>0</v>
      </c>
      <c r="T197" s="1">
        <f>2076.9+439-203.1-904.8-121.2</f>
        <v>1286.8000000000002</v>
      </c>
      <c r="U197" s="1">
        <v>579.5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64">
        <f t="shared" si="72"/>
        <v>1866.3000000000002</v>
      </c>
      <c r="AB197" s="63">
        <v>2019</v>
      </c>
      <c r="AC197" s="33"/>
    </row>
    <row r="198" spans="1:31" s="142" customFormat="1" ht="78.75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83" t="s">
        <v>320</v>
      </c>
      <c r="S198" s="56" t="s">
        <v>53</v>
      </c>
      <c r="T198" s="3">
        <v>58.6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6">
        <f t="shared" si="72"/>
        <v>58.6</v>
      </c>
      <c r="AB198" s="42">
        <v>2018</v>
      </c>
      <c r="AC198" s="119"/>
    </row>
    <row r="199" spans="1:31" s="142" customFormat="1" ht="48" customHeight="1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83" t="s">
        <v>321</v>
      </c>
      <c r="S199" s="56" t="s">
        <v>39</v>
      </c>
      <c r="T199" s="45">
        <v>28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  <c r="Z199" s="45">
        <v>0</v>
      </c>
      <c r="AA199" s="53">
        <f t="shared" si="72"/>
        <v>28</v>
      </c>
      <c r="AB199" s="42">
        <v>2018</v>
      </c>
      <c r="AC199" s="119"/>
      <c r="AD199" s="141"/>
    </row>
    <row r="200" spans="1:31" s="81" customFormat="1" ht="47.25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82" t="s">
        <v>192</v>
      </c>
      <c r="S200" s="60" t="s">
        <v>50</v>
      </c>
      <c r="T200" s="61">
        <v>1</v>
      </c>
      <c r="U200" s="61">
        <v>1</v>
      </c>
      <c r="V200" s="61">
        <v>1</v>
      </c>
      <c r="W200" s="61">
        <v>1</v>
      </c>
      <c r="X200" s="61">
        <v>1</v>
      </c>
      <c r="Y200" s="61">
        <v>1</v>
      </c>
      <c r="Z200" s="61">
        <v>1</v>
      </c>
      <c r="AA200" s="62">
        <v>1</v>
      </c>
      <c r="AB200" s="63">
        <v>2024</v>
      </c>
      <c r="AC200" s="33"/>
    </row>
    <row r="201" spans="1:31" ht="29.45" customHeight="1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83" t="s">
        <v>142</v>
      </c>
      <c r="S201" s="42" t="s">
        <v>51</v>
      </c>
      <c r="T201" s="45">
        <f>25+19+31+16</f>
        <v>91</v>
      </c>
      <c r="U201" s="45">
        <v>170</v>
      </c>
      <c r="V201" s="45">
        <v>170</v>
      </c>
      <c r="W201" s="45">
        <v>170</v>
      </c>
      <c r="X201" s="45">
        <v>170</v>
      </c>
      <c r="Y201" s="45">
        <v>170</v>
      </c>
      <c r="Z201" s="45">
        <v>170</v>
      </c>
      <c r="AA201" s="53">
        <f>SUM(T201:Z201)</f>
        <v>1111</v>
      </c>
      <c r="AB201" s="42">
        <v>2024</v>
      </c>
      <c r="AC201" s="137"/>
      <c r="AD201" s="109"/>
      <c r="AE201" s="109"/>
    </row>
    <row r="202" spans="1:31" ht="47.25" x14ac:dyDescent="0.25">
      <c r="A202" s="58"/>
      <c r="B202" s="58"/>
      <c r="C202" s="58"/>
      <c r="D202" s="58"/>
      <c r="E202" s="58"/>
      <c r="F202" s="58"/>
      <c r="G202" s="58"/>
      <c r="H202" s="58" t="s">
        <v>20</v>
      </c>
      <c r="I202" s="58" t="s">
        <v>25</v>
      </c>
      <c r="J202" s="58" t="s">
        <v>19</v>
      </c>
      <c r="K202" s="58" t="s">
        <v>19</v>
      </c>
      <c r="L202" s="58" t="s">
        <v>21</v>
      </c>
      <c r="M202" s="58" t="s">
        <v>19</v>
      </c>
      <c r="N202" s="58" t="s">
        <v>19</v>
      </c>
      <c r="O202" s="58" t="s">
        <v>19</v>
      </c>
      <c r="P202" s="58" t="s">
        <v>19</v>
      </c>
      <c r="Q202" s="58" t="s">
        <v>19</v>
      </c>
      <c r="R202" s="82" t="s">
        <v>143</v>
      </c>
      <c r="S202" s="63" t="s">
        <v>0</v>
      </c>
      <c r="T202" s="64">
        <f>T205+T249+T380+T289+T454</f>
        <v>22266.715</v>
      </c>
      <c r="U202" s="64">
        <f>U205+U249+U380+U289+U454</f>
        <v>23002.399999999998</v>
      </c>
      <c r="V202" s="64">
        <v>8228.2999999999993</v>
      </c>
      <c r="W202" s="64">
        <v>8228.2999999999993</v>
      </c>
      <c r="X202" s="64">
        <v>8228.2999999999993</v>
      </c>
      <c r="Y202" s="64">
        <v>8228.2999999999993</v>
      </c>
      <c r="Z202" s="64">
        <v>8228.2999999999993</v>
      </c>
      <c r="AA202" s="64">
        <f>SUM(T202:Z202)</f>
        <v>86410.615000000005</v>
      </c>
      <c r="AB202" s="63">
        <v>2024</v>
      </c>
      <c r="AC202" s="38"/>
      <c r="AD202" s="109"/>
      <c r="AE202" s="109"/>
    </row>
    <row r="203" spans="1:31" ht="47.25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85" t="s">
        <v>196</v>
      </c>
      <c r="S203" s="67" t="s">
        <v>53</v>
      </c>
      <c r="T203" s="3">
        <f>T256+T297+T386</f>
        <v>4.4000000000000004</v>
      </c>
      <c r="U203" s="3">
        <f>U256+U297+U386+U212</f>
        <v>4.0999999999999996</v>
      </c>
      <c r="V203" s="3">
        <f>V455</f>
        <v>7</v>
      </c>
      <c r="W203" s="3">
        <f>W455</f>
        <v>7</v>
      </c>
      <c r="X203" s="3">
        <f>X455</f>
        <v>7</v>
      </c>
      <c r="Y203" s="3">
        <f>Y455</f>
        <v>7</v>
      </c>
      <c r="Z203" s="3">
        <f>Z455</f>
        <v>7</v>
      </c>
      <c r="AA203" s="6">
        <f>SUM(T203:Z203)</f>
        <v>43.5</v>
      </c>
      <c r="AB203" s="42">
        <v>2024</v>
      </c>
      <c r="AC203" s="9"/>
      <c r="AD203" s="109"/>
      <c r="AE203" s="109"/>
    </row>
    <row r="204" spans="1:31" ht="47.25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85" t="s">
        <v>193</v>
      </c>
      <c r="S204" s="42" t="s">
        <v>51</v>
      </c>
      <c r="T204" s="45">
        <f>T213+T257+T298+T388</f>
        <v>30</v>
      </c>
      <c r="U204" s="45">
        <f>U213+U257+U298+U388</f>
        <v>23</v>
      </c>
      <c r="V204" s="45">
        <v>7</v>
      </c>
      <c r="W204" s="45">
        <v>7</v>
      </c>
      <c r="X204" s="45">
        <v>7</v>
      </c>
      <c r="Y204" s="45">
        <v>7</v>
      </c>
      <c r="Z204" s="45">
        <v>7</v>
      </c>
      <c r="AA204" s="6">
        <f>SUM(T204:Z204)</f>
        <v>88</v>
      </c>
      <c r="AB204" s="42">
        <v>2024</v>
      </c>
      <c r="AC204" s="9"/>
      <c r="AD204" s="109"/>
      <c r="AE204" s="109"/>
    </row>
    <row r="205" spans="1:31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158" t="s">
        <v>143</v>
      </c>
      <c r="S205" s="68" t="s">
        <v>0</v>
      </c>
      <c r="T205" s="64">
        <f t="shared" ref="T205:Z205" si="73">SUM(T206:T210)</f>
        <v>2922.6</v>
      </c>
      <c r="U205" s="64">
        <f t="shared" si="73"/>
        <v>6606</v>
      </c>
      <c r="V205" s="64">
        <f t="shared" si="73"/>
        <v>0</v>
      </c>
      <c r="W205" s="64">
        <f t="shared" si="73"/>
        <v>0</v>
      </c>
      <c r="X205" s="64">
        <f t="shared" si="73"/>
        <v>0</v>
      </c>
      <c r="Y205" s="64">
        <f t="shared" si="73"/>
        <v>0</v>
      </c>
      <c r="Z205" s="64">
        <f t="shared" si="73"/>
        <v>0</v>
      </c>
      <c r="AA205" s="64">
        <f>SUM(T205:Y205)</f>
        <v>9528.6</v>
      </c>
      <c r="AB205" s="63">
        <v>2018</v>
      </c>
      <c r="AC205" s="133"/>
      <c r="AD205" s="109"/>
      <c r="AE205" s="109"/>
    </row>
    <row r="206" spans="1:31" x14ac:dyDescent="0.25">
      <c r="A206" s="58" t="s">
        <v>19</v>
      </c>
      <c r="B206" s="58" t="s">
        <v>19</v>
      </c>
      <c r="C206" s="58" t="s">
        <v>23</v>
      </c>
      <c r="D206" s="58" t="s">
        <v>19</v>
      </c>
      <c r="E206" s="58" t="s">
        <v>19</v>
      </c>
      <c r="F206" s="58" t="s">
        <v>19</v>
      </c>
      <c r="G206" s="58" t="s">
        <v>19</v>
      </c>
      <c r="H206" s="58" t="s">
        <v>20</v>
      </c>
      <c r="I206" s="58" t="s">
        <v>25</v>
      </c>
      <c r="J206" s="58" t="s">
        <v>19</v>
      </c>
      <c r="K206" s="58" t="s">
        <v>19</v>
      </c>
      <c r="L206" s="58" t="s">
        <v>21</v>
      </c>
      <c r="M206" s="58" t="s">
        <v>20</v>
      </c>
      <c r="N206" s="58" t="s">
        <v>19</v>
      </c>
      <c r="O206" s="58" t="s">
        <v>25</v>
      </c>
      <c r="P206" s="58" t="s">
        <v>23</v>
      </c>
      <c r="Q206" s="58" t="s">
        <v>46</v>
      </c>
      <c r="R206" s="159"/>
      <c r="S206" s="68" t="s">
        <v>0</v>
      </c>
      <c r="T206" s="1">
        <f>T215+T220+T225+T231+T237+T244</f>
        <v>1229.5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64">
        <f t="shared" ref="AA206:AA213" si="74">SUM(T206:Y206)</f>
        <v>1229.5</v>
      </c>
      <c r="AB206" s="63">
        <v>2018</v>
      </c>
      <c r="AC206" s="133"/>
      <c r="AD206" s="109"/>
      <c r="AE206" s="109"/>
    </row>
    <row r="207" spans="1:31" x14ac:dyDescent="0.25">
      <c r="A207" s="58" t="s">
        <v>19</v>
      </c>
      <c r="B207" s="58" t="s">
        <v>19</v>
      </c>
      <c r="C207" s="58" t="s">
        <v>23</v>
      </c>
      <c r="D207" s="58" t="s">
        <v>19</v>
      </c>
      <c r="E207" s="58" t="s">
        <v>19</v>
      </c>
      <c r="F207" s="58" t="s">
        <v>19</v>
      </c>
      <c r="G207" s="58" t="s">
        <v>19</v>
      </c>
      <c r="H207" s="58" t="s">
        <v>20</v>
      </c>
      <c r="I207" s="58" t="s">
        <v>25</v>
      </c>
      <c r="J207" s="58" t="s">
        <v>19</v>
      </c>
      <c r="K207" s="58" t="s">
        <v>19</v>
      </c>
      <c r="L207" s="58" t="s">
        <v>21</v>
      </c>
      <c r="M207" s="58" t="s">
        <v>38</v>
      </c>
      <c r="N207" s="58" t="s">
        <v>19</v>
      </c>
      <c r="O207" s="58" t="s">
        <v>25</v>
      </c>
      <c r="P207" s="58" t="s">
        <v>23</v>
      </c>
      <c r="Q207" s="58" t="s">
        <v>40</v>
      </c>
      <c r="R207" s="159"/>
      <c r="S207" s="68" t="s">
        <v>0</v>
      </c>
      <c r="T207" s="1">
        <v>1046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64">
        <f t="shared" ref="AA207" si="75">SUM(T207:Y207)</f>
        <v>1046</v>
      </c>
      <c r="AB207" s="63">
        <v>2018</v>
      </c>
      <c r="AC207" s="133"/>
      <c r="AD207" s="109"/>
      <c r="AE207" s="109"/>
    </row>
    <row r="208" spans="1:31" x14ac:dyDescent="0.25">
      <c r="A208" s="58" t="s">
        <v>19</v>
      </c>
      <c r="B208" s="58" t="s">
        <v>19</v>
      </c>
      <c r="C208" s="58" t="s">
        <v>23</v>
      </c>
      <c r="D208" s="58" t="s">
        <v>19</v>
      </c>
      <c r="E208" s="58" t="s">
        <v>19</v>
      </c>
      <c r="F208" s="58" t="s">
        <v>19</v>
      </c>
      <c r="G208" s="58" t="s">
        <v>19</v>
      </c>
      <c r="H208" s="58" t="s">
        <v>20</v>
      </c>
      <c r="I208" s="58" t="s">
        <v>25</v>
      </c>
      <c r="J208" s="58" t="s">
        <v>19</v>
      </c>
      <c r="K208" s="58" t="s">
        <v>19</v>
      </c>
      <c r="L208" s="58" t="s">
        <v>21</v>
      </c>
      <c r="M208" s="58" t="s">
        <v>38</v>
      </c>
      <c r="N208" s="58" t="s">
        <v>19</v>
      </c>
      <c r="O208" s="58" t="s">
        <v>25</v>
      </c>
      <c r="P208" s="58" t="s">
        <v>23</v>
      </c>
      <c r="Q208" s="58" t="s">
        <v>47</v>
      </c>
      <c r="R208" s="159"/>
      <c r="S208" s="68" t="s">
        <v>0</v>
      </c>
      <c r="T208" s="1">
        <f>T216+T221+T226+T227+T232+T233+T238+T239+T245+T246</f>
        <v>647.1</v>
      </c>
      <c r="U208" s="1">
        <v>1329.9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64">
        <f t="shared" si="74"/>
        <v>1977</v>
      </c>
      <c r="AB208" s="63">
        <v>2019</v>
      </c>
      <c r="AC208" s="133"/>
      <c r="AD208" s="109"/>
      <c r="AE208" s="109"/>
    </row>
    <row r="209" spans="1:31" x14ac:dyDescent="0.25">
      <c r="A209" s="58" t="s">
        <v>19</v>
      </c>
      <c r="B209" s="58" t="s">
        <v>19</v>
      </c>
      <c r="C209" s="58" t="s">
        <v>23</v>
      </c>
      <c r="D209" s="58" t="s">
        <v>19</v>
      </c>
      <c r="E209" s="58" t="s">
        <v>19</v>
      </c>
      <c r="F209" s="58" t="s">
        <v>19</v>
      </c>
      <c r="G209" s="58" t="s">
        <v>19</v>
      </c>
      <c r="H209" s="58" t="s">
        <v>20</v>
      </c>
      <c r="I209" s="58" t="s">
        <v>25</v>
      </c>
      <c r="J209" s="58" t="s">
        <v>19</v>
      </c>
      <c r="K209" s="58" t="s">
        <v>19</v>
      </c>
      <c r="L209" s="58" t="s">
        <v>21</v>
      </c>
      <c r="M209" s="58" t="s">
        <v>20</v>
      </c>
      <c r="N209" s="58" t="s">
        <v>19</v>
      </c>
      <c r="O209" s="58" t="s">
        <v>25</v>
      </c>
      <c r="P209" s="58" t="s">
        <v>23</v>
      </c>
      <c r="Q209" s="58" t="s">
        <v>19</v>
      </c>
      <c r="R209" s="159"/>
      <c r="S209" s="68" t="s">
        <v>0</v>
      </c>
      <c r="T209" s="1">
        <v>0</v>
      </c>
      <c r="U209" s="1">
        <v>2901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4">
        <f t="shared" si="74"/>
        <v>2901</v>
      </c>
      <c r="AB209" s="63">
        <v>2019</v>
      </c>
      <c r="AC209" s="133"/>
      <c r="AD209" s="109"/>
      <c r="AE209" s="109"/>
    </row>
    <row r="210" spans="1:31" x14ac:dyDescent="0.25">
      <c r="A210" s="58" t="s">
        <v>19</v>
      </c>
      <c r="B210" s="58" t="s">
        <v>19</v>
      </c>
      <c r="C210" s="58" t="s">
        <v>23</v>
      </c>
      <c r="D210" s="58" t="s">
        <v>19</v>
      </c>
      <c r="E210" s="58" t="s">
        <v>19</v>
      </c>
      <c r="F210" s="58" t="s">
        <v>19</v>
      </c>
      <c r="G210" s="58" t="s">
        <v>19</v>
      </c>
      <c r="H210" s="58" t="s">
        <v>20</v>
      </c>
      <c r="I210" s="58" t="s">
        <v>25</v>
      </c>
      <c r="J210" s="58" t="s">
        <v>19</v>
      </c>
      <c r="K210" s="58" t="s">
        <v>19</v>
      </c>
      <c r="L210" s="58" t="s">
        <v>21</v>
      </c>
      <c r="M210" s="58" t="s">
        <v>38</v>
      </c>
      <c r="N210" s="58" t="s">
        <v>19</v>
      </c>
      <c r="O210" s="58" t="s">
        <v>25</v>
      </c>
      <c r="P210" s="58" t="s">
        <v>23</v>
      </c>
      <c r="Q210" s="58" t="s">
        <v>19</v>
      </c>
      <c r="R210" s="159"/>
      <c r="S210" s="68" t="s">
        <v>0</v>
      </c>
      <c r="T210" s="1">
        <v>0</v>
      </c>
      <c r="U210" s="1">
        <v>2375.1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4">
        <f t="shared" si="74"/>
        <v>2375.1</v>
      </c>
      <c r="AB210" s="63">
        <v>2019</v>
      </c>
      <c r="AC210" s="133"/>
      <c r="AD210" s="109"/>
      <c r="AE210" s="109"/>
    </row>
    <row r="211" spans="1:31" ht="47.25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83" t="s">
        <v>273</v>
      </c>
      <c r="S211" s="67" t="s">
        <v>53</v>
      </c>
      <c r="T211" s="3">
        <v>8.8000000000000007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6">
        <f t="shared" si="74"/>
        <v>8.8000000000000007</v>
      </c>
      <c r="AB211" s="42">
        <v>2019</v>
      </c>
      <c r="AC211" s="137"/>
      <c r="AD211" s="109"/>
      <c r="AE211" s="109"/>
    </row>
    <row r="212" spans="1:31" ht="47.25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85" t="s">
        <v>333</v>
      </c>
      <c r="S212" s="67" t="s">
        <v>53</v>
      </c>
      <c r="T212" s="3">
        <v>0</v>
      </c>
      <c r="U212" s="3">
        <v>1.1000000000000001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6">
        <f t="shared" si="74"/>
        <v>1.1000000000000001</v>
      </c>
      <c r="AB212" s="42">
        <v>2019</v>
      </c>
      <c r="AC212" s="137"/>
      <c r="AD212" s="109"/>
      <c r="AE212" s="109"/>
    </row>
    <row r="213" spans="1:31" ht="47.25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83" t="s">
        <v>334</v>
      </c>
      <c r="S213" s="91" t="s">
        <v>51</v>
      </c>
      <c r="T213" s="45">
        <v>3</v>
      </c>
      <c r="U213" s="45">
        <v>6</v>
      </c>
      <c r="V213" s="45">
        <v>0</v>
      </c>
      <c r="W213" s="45">
        <v>0</v>
      </c>
      <c r="X213" s="45">
        <v>0</v>
      </c>
      <c r="Y213" s="45">
        <v>0</v>
      </c>
      <c r="Z213" s="45">
        <v>0</v>
      </c>
      <c r="AA213" s="53">
        <f t="shared" si="74"/>
        <v>9</v>
      </c>
      <c r="AB213" s="42">
        <v>2019</v>
      </c>
      <c r="AC213" s="137"/>
      <c r="AD213" s="109"/>
      <c r="AE213" s="109"/>
    </row>
    <row r="214" spans="1:31" ht="15.6" hidden="1" customHeight="1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158" t="s">
        <v>197</v>
      </c>
      <c r="S214" s="68" t="s">
        <v>0</v>
      </c>
      <c r="T214" s="1">
        <f>SUM(T215:T217)</f>
        <v>998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64">
        <f t="shared" ref="AA214:AA311" si="76">SUM(T214:Y214)</f>
        <v>998</v>
      </c>
      <c r="AB214" s="63">
        <v>2018</v>
      </c>
      <c r="AC214" s="94"/>
      <c r="AD214" s="109">
        <f>T215+T220+T225+T231+T237+T244+T259+T265+T270+T275+T280+T285+T300+T306+T313+T320+T327+T334+T341+T348+T355+T362+T368+T374+T390+T396+T402+T408+T414+T420+T425+T431+T437+T443+T449</f>
        <v>9265.1149999999998</v>
      </c>
      <c r="AE214" s="109"/>
    </row>
    <row r="215" spans="1:31" ht="15.6" hidden="1" customHeight="1" x14ac:dyDescent="0.25">
      <c r="A215" s="58" t="s">
        <v>19</v>
      </c>
      <c r="B215" s="58" t="s">
        <v>19</v>
      </c>
      <c r="C215" s="58" t="s">
        <v>23</v>
      </c>
      <c r="D215" s="58" t="s">
        <v>19</v>
      </c>
      <c r="E215" s="58" t="s">
        <v>22</v>
      </c>
      <c r="F215" s="58" t="s">
        <v>19</v>
      </c>
      <c r="G215" s="58" t="s">
        <v>23</v>
      </c>
      <c r="H215" s="58" t="s">
        <v>20</v>
      </c>
      <c r="I215" s="58" t="s">
        <v>25</v>
      </c>
      <c r="J215" s="58" t="s">
        <v>19</v>
      </c>
      <c r="K215" s="58" t="s">
        <v>19</v>
      </c>
      <c r="L215" s="58" t="s">
        <v>21</v>
      </c>
      <c r="M215" s="58" t="s">
        <v>20</v>
      </c>
      <c r="N215" s="58" t="s">
        <v>19</v>
      </c>
      <c r="O215" s="58" t="s">
        <v>25</v>
      </c>
      <c r="P215" s="58" t="s">
        <v>23</v>
      </c>
      <c r="Q215" s="58" t="s">
        <v>46</v>
      </c>
      <c r="R215" s="159"/>
      <c r="S215" s="68" t="s">
        <v>0</v>
      </c>
      <c r="T215" s="1">
        <v>399.2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64">
        <f t="shared" si="76"/>
        <v>399.2</v>
      </c>
      <c r="AB215" s="63">
        <v>2018</v>
      </c>
      <c r="AC215" s="9"/>
      <c r="AD215" s="109">
        <f>T216+T221+T226+T227+T232+T233+T238+T239+T245+T246+T261+T266+T271+T276+T281+T286+T302+T301+T309+T308+T316+T315+T323+T322+T330+T329+T337+T336+T344+T343+T350+T351+T357+T364+T370+T376+T377+T391+T392+T397+T398+T403+T404+T409+T410+T415+T416+T421+T426+T427+T432+T433+T438+T439+T444+T445+T450+T451+T358</f>
        <v>4643.8</v>
      </c>
      <c r="AE215" s="109"/>
    </row>
    <row r="216" spans="1:31" ht="15.6" hidden="1" customHeight="1" x14ac:dyDescent="0.25">
      <c r="A216" s="58" t="s">
        <v>19</v>
      </c>
      <c r="B216" s="58" t="s">
        <v>19</v>
      </c>
      <c r="C216" s="58" t="s">
        <v>23</v>
      </c>
      <c r="D216" s="58" t="s">
        <v>19</v>
      </c>
      <c r="E216" s="58" t="s">
        <v>22</v>
      </c>
      <c r="F216" s="58" t="s">
        <v>19</v>
      </c>
      <c r="G216" s="58" t="s">
        <v>23</v>
      </c>
      <c r="H216" s="58" t="s">
        <v>20</v>
      </c>
      <c r="I216" s="58" t="s">
        <v>25</v>
      </c>
      <c r="J216" s="58" t="s">
        <v>19</v>
      </c>
      <c r="K216" s="58" t="s">
        <v>19</v>
      </c>
      <c r="L216" s="58" t="s">
        <v>21</v>
      </c>
      <c r="M216" s="58" t="s">
        <v>38</v>
      </c>
      <c r="N216" s="58" t="s">
        <v>19</v>
      </c>
      <c r="O216" s="58" t="s">
        <v>25</v>
      </c>
      <c r="P216" s="58" t="s">
        <v>23</v>
      </c>
      <c r="Q216" s="58" t="s">
        <v>47</v>
      </c>
      <c r="R216" s="159"/>
      <c r="S216" s="68" t="s">
        <v>0</v>
      </c>
      <c r="T216" s="1">
        <v>199.6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64">
        <f t="shared" si="76"/>
        <v>199.6</v>
      </c>
      <c r="AB216" s="63">
        <v>2018</v>
      </c>
      <c r="AC216" s="9"/>
      <c r="AD216" s="109">
        <f>T217+T222+T228+T234+T240+T247+T262+T267+T272+T277+T282+T287+T303+T310+T317+T324+T331+T338+T345+T352+T359+T365+T371+T378+T393+T399+T405+T411+T417+T422+T428+T434+T440+T446+T452</f>
        <v>9745.0000000000018</v>
      </c>
      <c r="AE216" s="109"/>
    </row>
    <row r="217" spans="1:31" ht="15.6" hidden="1" customHeight="1" x14ac:dyDescent="0.25">
      <c r="A217" s="58" t="s">
        <v>19</v>
      </c>
      <c r="B217" s="58" t="s">
        <v>19</v>
      </c>
      <c r="C217" s="58" t="s">
        <v>23</v>
      </c>
      <c r="D217" s="58" t="s">
        <v>19</v>
      </c>
      <c r="E217" s="58" t="s">
        <v>22</v>
      </c>
      <c r="F217" s="58" t="s">
        <v>19</v>
      </c>
      <c r="G217" s="58" t="s">
        <v>23</v>
      </c>
      <c r="H217" s="58" t="s">
        <v>20</v>
      </c>
      <c r="I217" s="58" t="s">
        <v>25</v>
      </c>
      <c r="J217" s="58" t="s">
        <v>19</v>
      </c>
      <c r="K217" s="58" t="s">
        <v>19</v>
      </c>
      <c r="L217" s="58" t="s">
        <v>21</v>
      </c>
      <c r="M217" s="58" t="s">
        <v>38</v>
      </c>
      <c r="N217" s="58" t="s">
        <v>19</v>
      </c>
      <c r="O217" s="58" t="s">
        <v>25</v>
      </c>
      <c r="P217" s="58" t="s">
        <v>23</v>
      </c>
      <c r="Q217" s="58" t="s">
        <v>40</v>
      </c>
      <c r="R217" s="160"/>
      <c r="S217" s="68" t="s">
        <v>0</v>
      </c>
      <c r="T217" s="1">
        <v>399.2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4">
        <f t="shared" si="76"/>
        <v>399.2</v>
      </c>
      <c r="AB217" s="63">
        <v>2018</v>
      </c>
      <c r="AC217" s="9"/>
      <c r="AD217" s="109">
        <f>T260+T307+T314+T321+T328+T335+T342+T349+T356+T363+T369+T375</f>
        <v>380</v>
      </c>
      <c r="AE217" s="109"/>
    </row>
    <row r="218" spans="1:31" ht="31.15" hidden="1" customHeight="1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85" t="s">
        <v>198</v>
      </c>
      <c r="S218" s="91" t="s">
        <v>184</v>
      </c>
      <c r="T218" s="3">
        <v>8750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6">
        <f t="shared" si="76"/>
        <v>8750</v>
      </c>
      <c r="AB218" s="42">
        <v>2018</v>
      </c>
      <c r="AC218" s="9"/>
      <c r="AD218" s="109">
        <f>SUM(AD214:AD217)</f>
        <v>24033.915000000001</v>
      </c>
      <c r="AE218" s="109"/>
    </row>
    <row r="219" spans="1:31" ht="15.6" hidden="1" customHeight="1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158" t="s">
        <v>199</v>
      </c>
      <c r="S219" s="68" t="s">
        <v>0</v>
      </c>
      <c r="T219" s="1">
        <f>SUM(T220:T222)</f>
        <v>150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4">
        <f t="shared" si="76"/>
        <v>150</v>
      </c>
      <c r="AB219" s="63">
        <v>2018</v>
      </c>
      <c r="AC219" s="9"/>
      <c r="AD219" s="109"/>
      <c r="AE219" s="109"/>
    </row>
    <row r="220" spans="1:31" ht="15.6" hidden="1" customHeight="1" x14ac:dyDescent="0.25">
      <c r="A220" s="58" t="s">
        <v>19</v>
      </c>
      <c r="B220" s="58" t="s">
        <v>19</v>
      </c>
      <c r="C220" s="58" t="s">
        <v>23</v>
      </c>
      <c r="D220" s="58" t="s">
        <v>19</v>
      </c>
      <c r="E220" s="58" t="s">
        <v>22</v>
      </c>
      <c r="F220" s="58" t="s">
        <v>19</v>
      </c>
      <c r="G220" s="58" t="s">
        <v>23</v>
      </c>
      <c r="H220" s="58" t="s">
        <v>20</v>
      </c>
      <c r="I220" s="58" t="s">
        <v>25</v>
      </c>
      <c r="J220" s="58" t="s">
        <v>19</v>
      </c>
      <c r="K220" s="58" t="s">
        <v>19</v>
      </c>
      <c r="L220" s="58" t="s">
        <v>21</v>
      </c>
      <c r="M220" s="58" t="s">
        <v>20</v>
      </c>
      <c r="N220" s="58" t="s">
        <v>19</v>
      </c>
      <c r="O220" s="58" t="s">
        <v>25</v>
      </c>
      <c r="P220" s="58" t="s">
        <v>23</v>
      </c>
      <c r="Q220" s="58" t="s">
        <v>46</v>
      </c>
      <c r="R220" s="159"/>
      <c r="S220" s="68" t="s">
        <v>0</v>
      </c>
      <c r="T220" s="1">
        <v>60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4">
        <f t="shared" si="76"/>
        <v>60</v>
      </c>
      <c r="AB220" s="63">
        <v>2018</v>
      </c>
      <c r="AC220" s="9"/>
      <c r="AD220" s="109"/>
      <c r="AE220" s="109"/>
    </row>
    <row r="221" spans="1:31" ht="15.6" hidden="1" customHeight="1" x14ac:dyDescent="0.25">
      <c r="A221" s="58" t="s">
        <v>19</v>
      </c>
      <c r="B221" s="58" t="s">
        <v>19</v>
      </c>
      <c r="C221" s="58" t="s">
        <v>23</v>
      </c>
      <c r="D221" s="58" t="s">
        <v>19</v>
      </c>
      <c r="E221" s="58" t="s">
        <v>22</v>
      </c>
      <c r="F221" s="58" t="s">
        <v>19</v>
      </c>
      <c r="G221" s="58" t="s">
        <v>23</v>
      </c>
      <c r="H221" s="58" t="s">
        <v>20</v>
      </c>
      <c r="I221" s="58" t="s">
        <v>25</v>
      </c>
      <c r="J221" s="58" t="s">
        <v>19</v>
      </c>
      <c r="K221" s="58" t="s">
        <v>19</v>
      </c>
      <c r="L221" s="58" t="s">
        <v>21</v>
      </c>
      <c r="M221" s="58" t="s">
        <v>38</v>
      </c>
      <c r="N221" s="58" t="s">
        <v>19</v>
      </c>
      <c r="O221" s="58" t="s">
        <v>25</v>
      </c>
      <c r="P221" s="58" t="s">
        <v>23</v>
      </c>
      <c r="Q221" s="58" t="s">
        <v>47</v>
      </c>
      <c r="R221" s="159"/>
      <c r="S221" s="68" t="s">
        <v>0</v>
      </c>
      <c r="T221" s="1">
        <v>30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64">
        <f t="shared" si="76"/>
        <v>30</v>
      </c>
      <c r="AB221" s="63">
        <v>2018</v>
      </c>
      <c r="AC221" s="9"/>
      <c r="AD221" s="109"/>
      <c r="AE221" s="109"/>
    </row>
    <row r="222" spans="1:31" ht="15.6" hidden="1" customHeight="1" x14ac:dyDescent="0.25">
      <c r="A222" s="58" t="s">
        <v>19</v>
      </c>
      <c r="B222" s="58" t="s">
        <v>19</v>
      </c>
      <c r="C222" s="58" t="s">
        <v>23</v>
      </c>
      <c r="D222" s="58" t="s">
        <v>19</v>
      </c>
      <c r="E222" s="58" t="s">
        <v>22</v>
      </c>
      <c r="F222" s="58" t="s">
        <v>19</v>
      </c>
      <c r="G222" s="58" t="s">
        <v>23</v>
      </c>
      <c r="H222" s="58" t="s">
        <v>20</v>
      </c>
      <c r="I222" s="58" t="s">
        <v>25</v>
      </c>
      <c r="J222" s="58" t="s">
        <v>19</v>
      </c>
      <c r="K222" s="58" t="s">
        <v>19</v>
      </c>
      <c r="L222" s="58" t="s">
        <v>21</v>
      </c>
      <c r="M222" s="58" t="s">
        <v>38</v>
      </c>
      <c r="N222" s="58" t="s">
        <v>19</v>
      </c>
      <c r="O222" s="58" t="s">
        <v>25</v>
      </c>
      <c r="P222" s="58" t="s">
        <v>23</v>
      </c>
      <c r="Q222" s="58" t="s">
        <v>40</v>
      </c>
      <c r="R222" s="160"/>
      <c r="S222" s="68" t="s">
        <v>0</v>
      </c>
      <c r="T222" s="1">
        <v>60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4">
        <f t="shared" si="76"/>
        <v>60</v>
      </c>
      <c r="AB222" s="63">
        <v>2018</v>
      </c>
      <c r="AC222" s="9"/>
      <c r="AD222" s="109"/>
      <c r="AE222" s="109"/>
    </row>
    <row r="223" spans="1:31" ht="46.9" hidden="1" customHeight="1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85" t="s">
        <v>200</v>
      </c>
      <c r="S223" s="91" t="s">
        <v>51</v>
      </c>
      <c r="T223" s="45">
        <v>7</v>
      </c>
      <c r="U223" s="45">
        <v>0</v>
      </c>
      <c r="V223" s="45">
        <v>0</v>
      </c>
      <c r="W223" s="45">
        <v>0</v>
      </c>
      <c r="X223" s="45">
        <v>0</v>
      </c>
      <c r="Y223" s="45">
        <v>0</v>
      </c>
      <c r="Z223" s="45">
        <v>0</v>
      </c>
      <c r="AA223" s="53">
        <f t="shared" si="76"/>
        <v>7</v>
      </c>
      <c r="AB223" s="42">
        <v>2018</v>
      </c>
      <c r="AC223" s="9"/>
      <c r="AD223" s="109"/>
      <c r="AE223" s="109"/>
    </row>
    <row r="224" spans="1:31" ht="15.6" hidden="1" customHeight="1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158" t="s">
        <v>201</v>
      </c>
      <c r="S224" s="68" t="s">
        <v>0</v>
      </c>
      <c r="T224" s="1">
        <f>SUM(T225:T228)</f>
        <v>1031.5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4">
        <f t="shared" si="76"/>
        <v>1031.5</v>
      </c>
      <c r="AB224" s="63">
        <v>2018</v>
      </c>
      <c r="AC224" s="9"/>
      <c r="AD224" s="109"/>
      <c r="AE224" s="109"/>
    </row>
    <row r="225" spans="1:31" ht="15.6" hidden="1" customHeight="1" x14ac:dyDescent="0.25">
      <c r="A225" s="58" t="s">
        <v>19</v>
      </c>
      <c r="B225" s="58" t="s">
        <v>19</v>
      </c>
      <c r="C225" s="58" t="s">
        <v>23</v>
      </c>
      <c r="D225" s="58" t="s">
        <v>19</v>
      </c>
      <c r="E225" s="58" t="s">
        <v>22</v>
      </c>
      <c r="F225" s="58" t="s">
        <v>19</v>
      </c>
      <c r="G225" s="58" t="s">
        <v>23</v>
      </c>
      <c r="H225" s="58" t="s">
        <v>20</v>
      </c>
      <c r="I225" s="58" t="s">
        <v>25</v>
      </c>
      <c r="J225" s="58" t="s">
        <v>19</v>
      </c>
      <c r="K225" s="58" t="s">
        <v>19</v>
      </c>
      <c r="L225" s="58" t="s">
        <v>21</v>
      </c>
      <c r="M225" s="58" t="s">
        <v>20</v>
      </c>
      <c r="N225" s="58" t="s">
        <v>19</v>
      </c>
      <c r="O225" s="58" t="s">
        <v>25</v>
      </c>
      <c r="P225" s="58" t="s">
        <v>23</v>
      </c>
      <c r="Q225" s="58" t="s">
        <v>46</v>
      </c>
      <c r="R225" s="159"/>
      <c r="S225" s="68" t="s">
        <v>0</v>
      </c>
      <c r="T225" s="1">
        <v>400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64">
        <f t="shared" si="76"/>
        <v>400</v>
      </c>
      <c r="AB225" s="63">
        <v>2018</v>
      </c>
      <c r="AC225" s="9"/>
      <c r="AD225" s="109"/>
      <c r="AE225" s="109"/>
    </row>
    <row r="226" spans="1:31" ht="15.6" hidden="1" customHeight="1" x14ac:dyDescent="0.25">
      <c r="A226" s="58" t="s">
        <v>19</v>
      </c>
      <c r="B226" s="58" t="s">
        <v>19</v>
      </c>
      <c r="C226" s="58" t="s">
        <v>23</v>
      </c>
      <c r="D226" s="58" t="s">
        <v>19</v>
      </c>
      <c r="E226" s="58" t="s">
        <v>22</v>
      </c>
      <c r="F226" s="58" t="s">
        <v>19</v>
      </c>
      <c r="G226" s="58" t="s">
        <v>23</v>
      </c>
      <c r="H226" s="58" t="s">
        <v>20</v>
      </c>
      <c r="I226" s="58" t="s">
        <v>25</v>
      </c>
      <c r="J226" s="58" t="s">
        <v>19</v>
      </c>
      <c r="K226" s="58" t="s">
        <v>19</v>
      </c>
      <c r="L226" s="58" t="s">
        <v>21</v>
      </c>
      <c r="M226" s="58" t="s">
        <v>38</v>
      </c>
      <c r="N226" s="58" t="s">
        <v>19</v>
      </c>
      <c r="O226" s="58" t="s">
        <v>25</v>
      </c>
      <c r="P226" s="58" t="s">
        <v>23</v>
      </c>
      <c r="Q226" s="58" t="s">
        <v>47</v>
      </c>
      <c r="R226" s="159"/>
      <c r="S226" s="68" t="s">
        <v>0</v>
      </c>
      <c r="T226" s="1">
        <v>2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64">
        <f t="shared" si="76"/>
        <v>2</v>
      </c>
      <c r="AB226" s="63">
        <v>2018</v>
      </c>
      <c r="AC226" s="9"/>
      <c r="AD226" s="109"/>
      <c r="AE226" s="109"/>
    </row>
    <row r="227" spans="1:31" ht="15.6" hidden="1" customHeight="1" x14ac:dyDescent="0.25">
      <c r="A227" s="58" t="s">
        <v>19</v>
      </c>
      <c r="B227" s="58" t="s">
        <v>19</v>
      </c>
      <c r="C227" s="58" t="s">
        <v>23</v>
      </c>
      <c r="D227" s="58" t="s">
        <v>19</v>
      </c>
      <c r="E227" s="58" t="s">
        <v>22</v>
      </c>
      <c r="F227" s="58" t="s">
        <v>19</v>
      </c>
      <c r="G227" s="58" t="s">
        <v>23</v>
      </c>
      <c r="H227" s="58" t="s">
        <v>20</v>
      </c>
      <c r="I227" s="58" t="s">
        <v>25</v>
      </c>
      <c r="J227" s="58" t="s">
        <v>19</v>
      </c>
      <c r="K227" s="58" t="s">
        <v>19</v>
      </c>
      <c r="L227" s="58" t="s">
        <v>21</v>
      </c>
      <c r="M227" s="58" t="s">
        <v>38</v>
      </c>
      <c r="N227" s="58" t="s">
        <v>19</v>
      </c>
      <c r="O227" s="58" t="s">
        <v>25</v>
      </c>
      <c r="P227" s="58" t="s">
        <v>23</v>
      </c>
      <c r="Q227" s="58" t="s">
        <v>47</v>
      </c>
      <c r="R227" s="159"/>
      <c r="S227" s="68" t="s">
        <v>0</v>
      </c>
      <c r="T227" s="1">
        <v>229.5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4">
        <f t="shared" si="76"/>
        <v>229.5</v>
      </c>
      <c r="AB227" s="63">
        <v>2018</v>
      </c>
      <c r="AC227" s="9"/>
      <c r="AD227" s="109"/>
      <c r="AE227" s="109"/>
    </row>
    <row r="228" spans="1:31" ht="15.6" hidden="1" customHeight="1" x14ac:dyDescent="0.25">
      <c r="A228" s="58" t="s">
        <v>19</v>
      </c>
      <c r="B228" s="58" t="s">
        <v>19</v>
      </c>
      <c r="C228" s="58" t="s">
        <v>23</v>
      </c>
      <c r="D228" s="58" t="s">
        <v>19</v>
      </c>
      <c r="E228" s="58" t="s">
        <v>22</v>
      </c>
      <c r="F228" s="58" t="s">
        <v>19</v>
      </c>
      <c r="G228" s="58" t="s">
        <v>23</v>
      </c>
      <c r="H228" s="58" t="s">
        <v>20</v>
      </c>
      <c r="I228" s="58" t="s">
        <v>25</v>
      </c>
      <c r="J228" s="58" t="s">
        <v>19</v>
      </c>
      <c r="K228" s="58" t="s">
        <v>19</v>
      </c>
      <c r="L228" s="58" t="s">
        <v>21</v>
      </c>
      <c r="M228" s="58" t="s">
        <v>38</v>
      </c>
      <c r="N228" s="58" t="s">
        <v>19</v>
      </c>
      <c r="O228" s="58" t="s">
        <v>25</v>
      </c>
      <c r="P228" s="58" t="s">
        <v>23</v>
      </c>
      <c r="Q228" s="58" t="s">
        <v>40</v>
      </c>
      <c r="R228" s="160"/>
      <c r="S228" s="68" t="s">
        <v>0</v>
      </c>
      <c r="T228" s="1">
        <v>400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4">
        <f t="shared" si="76"/>
        <v>400</v>
      </c>
      <c r="AB228" s="63">
        <v>2018</v>
      </c>
      <c r="AC228" s="9"/>
      <c r="AD228" s="109"/>
      <c r="AE228" s="109"/>
    </row>
    <row r="229" spans="1:31" ht="45.6" hidden="1" customHeight="1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85" t="s">
        <v>202</v>
      </c>
      <c r="S229" s="91" t="s">
        <v>51</v>
      </c>
      <c r="T229" s="45">
        <v>44</v>
      </c>
      <c r="U229" s="45">
        <v>0</v>
      </c>
      <c r="V229" s="45">
        <v>0</v>
      </c>
      <c r="W229" s="45">
        <v>0</v>
      </c>
      <c r="X229" s="45">
        <v>0</v>
      </c>
      <c r="Y229" s="45">
        <v>0</v>
      </c>
      <c r="Z229" s="45">
        <v>0</v>
      </c>
      <c r="AA229" s="53">
        <f t="shared" si="76"/>
        <v>44</v>
      </c>
      <c r="AB229" s="42">
        <v>2018</v>
      </c>
      <c r="AC229" s="9"/>
      <c r="AD229" s="109"/>
      <c r="AE229" s="109"/>
    </row>
    <row r="230" spans="1:31" ht="15.6" hidden="1" customHeight="1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158" t="s">
        <v>203</v>
      </c>
      <c r="S230" s="68" t="s">
        <v>0</v>
      </c>
      <c r="T230" s="1">
        <f>SUM(T231:T234)</f>
        <v>613.5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4">
        <f t="shared" si="76"/>
        <v>613.5</v>
      </c>
      <c r="AB230" s="63">
        <v>2018</v>
      </c>
      <c r="AC230" s="9"/>
      <c r="AD230" s="109"/>
      <c r="AE230" s="109"/>
    </row>
    <row r="231" spans="1:31" ht="15.6" hidden="1" customHeight="1" x14ac:dyDescent="0.25">
      <c r="A231" s="58" t="s">
        <v>19</v>
      </c>
      <c r="B231" s="58" t="s">
        <v>19</v>
      </c>
      <c r="C231" s="58" t="s">
        <v>23</v>
      </c>
      <c r="D231" s="58" t="s">
        <v>19</v>
      </c>
      <c r="E231" s="58" t="s">
        <v>22</v>
      </c>
      <c r="F231" s="58" t="s">
        <v>19</v>
      </c>
      <c r="G231" s="58" t="s">
        <v>23</v>
      </c>
      <c r="H231" s="58" t="s">
        <v>20</v>
      </c>
      <c r="I231" s="58" t="s">
        <v>25</v>
      </c>
      <c r="J231" s="58" t="s">
        <v>19</v>
      </c>
      <c r="K231" s="58" t="s">
        <v>19</v>
      </c>
      <c r="L231" s="58" t="s">
        <v>21</v>
      </c>
      <c r="M231" s="58" t="s">
        <v>20</v>
      </c>
      <c r="N231" s="58" t="s">
        <v>19</v>
      </c>
      <c r="O231" s="58" t="s">
        <v>25</v>
      </c>
      <c r="P231" s="58" t="s">
        <v>23</v>
      </c>
      <c r="Q231" s="58" t="s">
        <v>46</v>
      </c>
      <c r="R231" s="159"/>
      <c r="S231" s="68" t="s">
        <v>0</v>
      </c>
      <c r="T231" s="1">
        <v>245.4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4">
        <f t="shared" si="76"/>
        <v>245.4</v>
      </c>
      <c r="AB231" s="63">
        <v>2018</v>
      </c>
      <c r="AC231" s="9"/>
      <c r="AD231" s="109"/>
      <c r="AE231" s="109"/>
    </row>
    <row r="232" spans="1:31" ht="15.6" hidden="1" customHeight="1" x14ac:dyDescent="0.25">
      <c r="A232" s="58" t="s">
        <v>19</v>
      </c>
      <c r="B232" s="58" t="s">
        <v>19</v>
      </c>
      <c r="C232" s="58" t="s">
        <v>23</v>
      </c>
      <c r="D232" s="58" t="s">
        <v>19</v>
      </c>
      <c r="E232" s="58" t="s">
        <v>22</v>
      </c>
      <c r="F232" s="58" t="s">
        <v>19</v>
      </c>
      <c r="G232" s="58" t="s">
        <v>23</v>
      </c>
      <c r="H232" s="58" t="s">
        <v>20</v>
      </c>
      <c r="I232" s="58" t="s">
        <v>25</v>
      </c>
      <c r="J232" s="58" t="s">
        <v>19</v>
      </c>
      <c r="K232" s="58" t="s">
        <v>19</v>
      </c>
      <c r="L232" s="58" t="s">
        <v>21</v>
      </c>
      <c r="M232" s="58" t="s">
        <v>38</v>
      </c>
      <c r="N232" s="58" t="s">
        <v>19</v>
      </c>
      <c r="O232" s="58" t="s">
        <v>25</v>
      </c>
      <c r="P232" s="58" t="s">
        <v>23</v>
      </c>
      <c r="Q232" s="58" t="s">
        <v>47</v>
      </c>
      <c r="R232" s="159"/>
      <c r="S232" s="68" t="s">
        <v>0</v>
      </c>
      <c r="T232" s="1">
        <v>60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64">
        <f t="shared" si="76"/>
        <v>60</v>
      </c>
      <c r="AB232" s="63">
        <v>2018</v>
      </c>
      <c r="AC232" s="9"/>
      <c r="AD232" s="109"/>
      <c r="AE232" s="109"/>
    </row>
    <row r="233" spans="1:31" ht="15.6" hidden="1" customHeight="1" x14ac:dyDescent="0.25">
      <c r="A233" s="58" t="s">
        <v>19</v>
      </c>
      <c r="B233" s="58" t="s">
        <v>19</v>
      </c>
      <c r="C233" s="58" t="s">
        <v>23</v>
      </c>
      <c r="D233" s="58" t="s">
        <v>19</v>
      </c>
      <c r="E233" s="58" t="s">
        <v>22</v>
      </c>
      <c r="F233" s="58" t="s">
        <v>19</v>
      </c>
      <c r="G233" s="58" t="s">
        <v>23</v>
      </c>
      <c r="H233" s="58" t="s">
        <v>20</v>
      </c>
      <c r="I233" s="58" t="s">
        <v>25</v>
      </c>
      <c r="J233" s="58" t="s">
        <v>19</v>
      </c>
      <c r="K233" s="58" t="s">
        <v>19</v>
      </c>
      <c r="L233" s="58" t="s">
        <v>21</v>
      </c>
      <c r="M233" s="58" t="s">
        <v>38</v>
      </c>
      <c r="N233" s="58" t="s">
        <v>19</v>
      </c>
      <c r="O233" s="58" t="s">
        <v>25</v>
      </c>
      <c r="P233" s="58" t="s">
        <v>23</v>
      </c>
      <c r="Q233" s="58" t="s">
        <v>47</v>
      </c>
      <c r="R233" s="159"/>
      <c r="S233" s="68" t="s">
        <v>0</v>
      </c>
      <c r="T233" s="1">
        <v>62.7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4">
        <f t="shared" si="76"/>
        <v>62.7</v>
      </c>
      <c r="AB233" s="63">
        <v>2018</v>
      </c>
      <c r="AC233" s="9"/>
      <c r="AD233" s="109"/>
      <c r="AE233" s="109"/>
    </row>
    <row r="234" spans="1:31" ht="15.6" hidden="1" customHeight="1" x14ac:dyDescent="0.25">
      <c r="A234" s="58" t="s">
        <v>19</v>
      </c>
      <c r="B234" s="58" t="s">
        <v>19</v>
      </c>
      <c r="C234" s="58" t="s">
        <v>23</v>
      </c>
      <c r="D234" s="58" t="s">
        <v>19</v>
      </c>
      <c r="E234" s="58" t="s">
        <v>22</v>
      </c>
      <c r="F234" s="58" t="s">
        <v>19</v>
      </c>
      <c r="G234" s="58" t="s">
        <v>23</v>
      </c>
      <c r="H234" s="58" t="s">
        <v>20</v>
      </c>
      <c r="I234" s="58" t="s">
        <v>25</v>
      </c>
      <c r="J234" s="58" t="s">
        <v>19</v>
      </c>
      <c r="K234" s="58" t="s">
        <v>19</v>
      </c>
      <c r="L234" s="58" t="s">
        <v>21</v>
      </c>
      <c r="M234" s="58" t="s">
        <v>38</v>
      </c>
      <c r="N234" s="58" t="s">
        <v>19</v>
      </c>
      <c r="O234" s="58" t="s">
        <v>25</v>
      </c>
      <c r="P234" s="58" t="s">
        <v>23</v>
      </c>
      <c r="Q234" s="58" t="s">
        <v>40</v>
      </c>
      <c r="R234" s="160"/>
      <c r="S234" s="68" t="s">
        <v>0</v>
      </c>
      <c r="T234" s="1">
        <v>245.4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4">
        <f t="shared" si="76"/>
        <v>245.4</v>
      </c>
      <c r="AB234" s="63">
        <v>2018</v>
      </c>
      <c r="AC234" s="9"/>
      <c r="AD234" s="109"/>
      <c r="AE234" s="109"/>
    </row>
    <row r="235" spans="1:31" ht="46.9" hidden="1" customHeight="1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85" t="s">
        <v>204</v>
      </c>
      <c r="S235" s="91" t="s">
        <v>51</v>
      </c>
      <c r="T235" s="45">
        <v>26</v>
      </c>
      <c r="U235" s="45">
        <v>0</v>
      </c>
      <c r="V235" s="45">
        <v>0</v>
      </c>
      <c r="W235" s="45">
        <v>0</v>
      </c>
      <c r="X235" s="45">
        <v>0</v>
      </c>
      <c r="Y235" s="45">
        <v>0</v>
      </c>
      <c r="Z235" s="45">
        <v>0</v>
      </c>
      <c r="AA235" s="53">
        <f t="shared" si="76"/>
        <v>26</v>
      </c>
      <c r="AB235" s="42">
        <v>2018</v>
      </c>
      <c r="AC235" s="9"/>
      <c r="AD235" s="109"/>
      <c r="AE235" s="109"/>
    </row>
    <row r="236" spans="1:31" ht="15.6" hidden="1" customHeight="1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158" t="s">
        <v>205</v>
      </c>
      <c r="S236" s="68" t="s">
        <v>0</v>
      </c>
      <c r="T236" s="1">
        <f>SUM(T237:T240)</f>
        <v>194.7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4">
        <f t="shared" si="76"/>
        <v>194.7</v>
      </c>
      <c r="AB236" s="63">
        <v>2018</v>
      </c>
      <c r="AC236" s="9"/>
      <c r="AD236" s="109"/>
      <c r="AE236" s="109"/>
    </row>
    <row r="237" spans="1:31" ht="15.6" hidden="1" customHeight="1" x14ac:dyDescent="0.25">
      <c r="A237" s="58" t="s">
        <v>19</v>
      </c>
      <c r="B237" s="58" t="s">
        <v>19</v>
      </c>
      <c r="C237" s="58" t="s">
        <v>23</v>
      </c>
      <c r="D237" s="58" t="s">
        <v>19</v>
      </c>
      <c r="E237" s="58" t="s">
        <v>22</v>
      </c>
      <c r="F237" s="58" t="s">
        <v>19</v>
      </c>
      <c r="G237" s="58" t="s">
        <v>23</v>
      </c>
      <c r="H237" s="58" t="s">
        <v>20</v>
      </c>
      <c r="I237" s="58" t="s">
        <v>25</v>
      </c>
      <c r="J237" s="58" t="s">
        <v>19</v>
      </c>
      <c r="K237" s="58" t="s">
        <v>19</v>
      </c>
      <c r="L237" s="58" t="s">
        <v>21</v>
      </c>
      <c r="M237" s="58" t="s">
        <v>20</v>
      </c>
      <c r="N237" s="58" t="s">
        <v>19</v>
      </c>
      <c r="O237" s="58" t="s">
        <v>25</v>
      </c>
      <c r="P237" s="58" t="s">
        <v>23</v>
      </c>
      <c r="Q237" s="58" t="s">
        <v>46</v>
      </c>
      <c r="R237" s="159"/>
      <c r="S237" s="68" t="s">
        <v>0</v>
      </c>
      <c r="T237" s="1">
        <v>77.3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4">
        <f t="shared" si="76"/>
        <v>77.3</v>
      </c>
      <c r="AB237" s="63">
        <v>2018</v>
      </c>
      <c r="AC237" s="9"/>
      <c r="AD237" s="109"/>
      <c r="AE237" s="109"/>
    </row>
    <row r="238" spans="1:31" ht="15.6" hidden="1" customHeight="1" x14ac:dyDescent="0.25">
      <c r="A238" s="58" t="s">
        <v>19</v>
      </c>
      <c r="B238" s="58" t="s">
        <v>19</v>
      </c>
      <c r="C238" s="58" t="s">
        <v>23</v>
      </c>
      <c r="D238" s="58" t="s">
        <v>19</v>
      </c>
      <c r="E238" s="58" t="s">
        <v>22</v>
      </c>
      <c r="F238" s="58" t="s">
        <v>19</v>
      </c>
      <c r="G238" s="58" t="s">
        <v>23</v>
      </c>
      <c r="H238" s="58" t="s">
        <v>20</v>
      </c>
      <c r="I238" s="58" t="s">
        <v>25</v>
      </c>
      <c r="J238" s="58" t="s">
        <v>19</v>
      </c>
      <c r="K238" s="58" t="s">
        <v>19</v>
      </c>
      <c r="L238" s="58" t="s">
        <v>21</v>
      </c>
      <c r="M238" s="58" t="s">
        <v>38</v>
      </c>
      <c r="N238" s="58" t="s">
        <v>19</v>
      </c>
      <c r="O238" s="58" t="s">
        <v>25</v>
      </c>
      <c r="P238" s="58" t="s">
        <v>23</v>
      </c>
      <c r="Q238" s="58" t="s">
        <v>47</v>
      </c>
      <c r="R238" s="159"/>
      <c r="S238" s="68" t="s">
        <v>0</v>
      </c>
      <c r="T238" s="1">
        <v>20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64">
        <f t="shared" si="76"/>
        <v>20</v>
      </c>
      <c r="AB238" s="63">
        <v>2018</v>
      </c>
      <c r="AC238" s="9"/>
      <c r="AD238" s="109"/>
      <c r="AE238" s="109"/>
    </row>
    <row r="239" spans="1:31" ht="15.6" hidden="1" customHeight="1" x14ac:dyDescent="0.25">
      <c r="A239" s="58" t="s">
        <v>19</v>
      </c>
      <c r="B239" s="58" t="s">
        <v>19</v>
      </c>
      <c r="C239" s="58" t="s">
        <v>23</v>
      </c>
      <c r="D239" s="58" t="s">
        <v>19</v>
      </c>
      <c r="E239" s="58" t="s">
        <v>22</v>
      </c>
      <c r="F239" s="58" t="s">
        <v>19</v>
      </c>
      <c r="G239" s="58" t="s">
        <v>23</v>
      </c>
      <c r="H239" s="58" t="s">
        <v>20</v>
      </c>
      <c r="I239" s="58" t="s">
        <v>25</v>
      </c>
      <c r="J239" s="58" t="s">
        <v>19</v>
      </c>
      <c r="K239" s="58" t="s">
        <v>19</v>
      </c>
      <c r="L239" s="58" t="s">
        <v>21</v>
      </c>
      <c r="M239" s="58" t="s">
        <v>38</v>
      </c>
      <c r="N239" s="58" t="s">
        <v>19</v>
      </c>
      <c r="O239" s="58" t="s">
        <v>25</v>
      </c>
      <c r="P239" s="58" t="s">
        <v>23</v>
      </c>
      <c r="Q239" s="58" t="s">
        <v>47</v>
      </c>
      <c r="R239" s="159"/>
      <c r="S239" s="68" t="s">
        <v>0</v>
      </c>
      <c r="T239" s="1">
        <v>19.5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4">
        <f t="shared" si="76"/>
        <v>19.5</v>
      </c>
      <c r="AB239" s="63">
        <v>2018</v>
      </c>
      <c r="AC239" s="9"/>
      <c r="AD239" s="109"/>
      <c r="AE239" s="109"/>
    </row>
    <row r="240" spans="1:31" ht="15.6" hidden="1" customHeight="1" x14ac:dyDescent="0.25">
      <c r="A240" s="58" t="s">
        <v>19</v>
      </c>
      <c r="B240" s="58" t="s">
        <v>19</v>
      </c>
      <c r="C240" s="58" t="s">
        <v>23</v>
      </c>
      <c r="D240" s="58" t="s">
        <v>19</v>
      </c>
      <c r="E240" s="58" t="s">
        <v>22</v>
      </c>
      <c r="F240" s="58" t="s">
        <v>19</v>
      </c>
      <c r="G240" s="58" t="s">
        <v>23</v>
      </c>
      <c r="H240" s="58" t="s">
        <v>20</v>
      </c>
      <c r="I240" s="58" t="s">
        <v>25</v>
      </c>
      <c r="J240" s="58" t="s">
        <v>19</v>
      </c>
      <c r="K240" s="58" t="s">
        <v>19</v>
      </c>
      <c r="L240" s="58" t="s">
        <v>21</v>
      </c>
      <c r="M240" s="58" t="s">
        <v>38</v>
      </c>
      <c r="N240" s="58" t="s">
        <v>19</v>
      </c>
      <c r="O240" s="58" t="s">
        <v>25</v>
      </c>
      <c r="P240" s="58" t="s">
        <v>23</v>
      </c>
      <c r="Q240" s="58" t="s">
        <v>40</v>
      </c>
      <c r="R240" s="160"/>
      <c r="S240" s="68" t="s">
        <v>0</v>
      </c>
      <c r="T240" s="1">
        <v>77.900000000000006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4">
        <f t="shared" si="76"/>
        <v>77.900000000000006</v>
      </c>
      <c r="AB240" s="63">
        <v>2018</v>
      </c>
      <c r="AC240" s="9"/>
      <c r="AD240" s="109"/>
      <c r="AE240" s="109"/>
    </row>
    <row r="241" spans="1:31" s="77" customFormat="1" ht="31.15" hidden="1" customHeight="1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85" t="s">
        <v>206</v>
      </c>
      <c r="S241" s="56" t="s">
        <v>51</v>
      </c>
      <c r="T241" s="45">
        <v>1</v>
      </c>
      <c r="U241" s="45">
        <v>0</v>
      </c>
      <c r="V241" s="45">
        <v>0</v>
      </c>
      <c r="W241" s="45">
        <v>0</v>
      </c>
      <c r="X241" s="45">
        <v>0</v>
      </c>
      <c r="Y241" s="45">
        <v>0</v>
      </c>
      <c r="Z241" s="45">
        <v>0</v>
      </c>
      <c r="AA241" s="53">
        <f t="shared" si="76"/>
        <v>1</v>
      </c>
      <c r="AB241" s="42">
        <v>2018</v>
      </c>
      <c r="AC241" s="75"/>
      <c r="AD241" s="92"/>
      <c r="AE241" s="92"/>
    </row>
    <row r="242" spans="1:31" ht="31.15" hidden="1" customHeight="1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85" t="s">
        <v>207</v>
      </c>
      <c r="S242" s="91" t="s">
        <v>185</v>
      </c>
      <c r="T242" s="3">
        <v>15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6">
        <f t="shared" si="76"/>
        <v>15</v>
      </c>
      <c r="AB242" s="42">
        <v>2018</v>
      </c>
      <c r="AC242" s="9"/>
      <c r="AD242" s="109"/>
      <c r="AE242" s="109"/>
    </row>
    <row r="243" spans="1:31" ht="15.6" hidden="1" customHeight="1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158" t="s">
        <v>208</v>
      </c>
      <c r="S243" s="68" t="s">
        <v>0</v>
      </c>
      <c r="T243" s="1">
        <f>SUM(T244:T247)</f>
        <v>119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4">
        <f t="shared" si="76"/>
        <v>119</v>
      </c>
      <c r="AB243" s="63">
        <v>2018</v>
      </c>
      <c r="AC243" s="9"/>
      <c r="AD243" s="109"/>
      <c r="AE243" s="109"/>
    </row>
    <row r="244" spans="1:31" ht="15.6" hidden="1" customHeight="1" x14ac:dyDescent="0.25">
      <c r="A244" s="58" t="s">
        <v>19</v>
      </c>
      <c r="B244" s="58" t="s">
        <v>19</v>
      </c>
      <c r="C244" s="58" t="s">
        <v>23</v>
      </c>
      <c r="D244" s="58" t="s">
        <v>19</v>
      </c>
      <c r="E244" s="58" t="s">
        <v>25</v>
      </c>
      <c r="F244" s="58" t="s">
        <v>19</v>
      </c>
      <c r="G244" s="58" t="s">
        <v>44</v>
      </c>
      <c r="H244" s="58" t="s">
        <v>20</v>
      </c>
      <c r="I244" s="58" t="s">
        <v>25</v>
      </c>
      <c r="J244" s="58" t="s">
        <v>19</v>
      </c>
      <c r="K244" s="58" t="s">
        <v>19</v>
      </c>
      <c r="L244" s="58" t="s">
        <v>21</v>
      </c>
      <c r="M244" s="58" t="s">
        <v>20</v>
      </c>
      <c r="N244" s="58" t="s">
        <v>19</v>
      </c>
      <c r="O244" s="58" t="s">
        <v>25</v>
      </c>
      <c r="P244" s="58" t="s">
        <v>23</v>
      </c>
      <c r="Q244" s="58" t="s">
        <v>46</v>
      </c>
      <c r="R244" s="159"/>
      <c r="S244" s="68" t="s">
        <v>0</v>
      </c>
      <c r="T244" s="1">
        <v>47.6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64">
        <f t="shared" si="76"/>
        <v>47.6</v>
      </c>
      <c r="AB244" s="63">
        <v>2018</v>
      </c>
      <c r="AC244" s="9"/>
      <c r="AD244" s="109"/>
      <c r="AE244" s="109"/>
    </row>
    <row r="245" spans="1:31" ht="15.6" hidden="1" customHeight="1" x14ac:dyDescent="0.25">
      <c r="A245" s="58" t="s">
        <v>19</v>
      </c>
      <c r="B245" s="58" t="s">
        <v>19</v>
      </c>
      <c r="C245" s="58" t="s">
        <v>23</v>
      </c>
      <c r="D245" s="58" t="s">
        <v>19</v>
      </c>
      <c r="E245" s="58" t="s">
        <v>25</v>
      </c>
      <c r="F245" s="58" t="s">
        <v>19</v>
      </c>
      <c r="G245" s="58" t="s">
        <v>44</v>
      </c>
      <c r="H245" s="58" t="s">
        <v>20</v>
      </c>
      <c r="I245" s="58" t="s">
        <v>25</v>
      </c>
      <c r="J245" s="58" t="s">
        <v>19</v>
      </c>
      <c r="K245" s="58" t="s">
        <v>19</v>
      </c>
      <c r="L245" s="58" t="s">
        <v>21</v>
      </c>
      <c r="M245" s="58" t="s">
        <v>38</v>
      </c>
      <c r="N245" s="58" t="s">
        <v>19</v>
      </c>
      <c r="O245" s="58" t="s">
        <v>25</v>
      </c>
      <c r="P245" s="58" t="s">
        <v>23</v>
      </c>
      <c r="Q245" s="58" t="s">
        <v>47</v>
      </c>
      <c r="R245" s="159"/>
      <c r="S245" s="68" t="s">
        <v>0</v>
      </c>
      <c r="T245" s="1">
        <v>11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64">
        <f t="shared" si="76"/>
        <v>11</v>
      </c>
      <c r="AB245" s="63">
        <v>2018</v>
      </c>
      <c r="AC245" s="9"/>
      <c r="AD245" s="109"/>
      <c r="AE245" s="109"/>
    </row>
    <row r="246" spans="1:31" ht="15.6" hidden="1" customHeight="1" x14ac:dyDescent="0.25">
      <c r="A246" s="58" t="s">
        <v>19</v>
      </c>
      <c r="B246" s="58" t="s">
        <v>19</v>
      </c>
      <c r="C246" s="58" t="s">
        <v>23</v>
      </c>
      <c r="D246" s="58" t="s">
        <v>19</v>
      </c>
      <c r="E246" s="58" t="s">
        <v>25</v>
      </c>
      <c r="F246" s="58" t="s">
        <v>19</v>
      </c>
      <c r="G246" s="58" t="s">
        <v>44</v>
      </c>
      <c r="H246" s="58" t="s">
        <v>20</v>
      </c>
      <c r="I246" s="58" t="s">
        <v>25</v>
      </c>
      <c r="J246" s="58" t="s">
        <v>19</v>
      </c>
      <c r="K246" s="58" t="s">
        <v>19</v>
      </c>
      <c r="L246" s="58" t="s">
        <v>21</v>
      </c>
      <c r="M246" s="58" t="s">
        <v>38</v>
      </c>
      <c r="N246" s="58" t="s">
        <v>19</v>
      </c>
      <c r="O246" s="58" t="s">
        <v>25</v>
      </c>
      <c r="P246" s="58" t="s">
        <v>23</v>
      </c>
      <c r="Q246" s="58" t="s">
        <v>47</v>
      </c>
      <c r="R246" s="159"/>
      <c r="S246" s="68" t="s">
        <v>0</v>
      </c>
      <c r="T246" s="1">
        <v>12.8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4">
        <f t="shared" si="76"/>
        <v>12.8</v>
      </c>
      <c r="AB246" s="63">
        <v>2018</v>
      </c>
      <c r="AC246" s="9"/>
      <c r="AD246" s="109"/>
      <c r="AE246" s="109"/>
    </row>
    <row r="247" spans="1:31" ht="15.6" hidden="1" customHeight="1" x14ac:dyDescent="0.25">
      <c r="A247" s="58" t="s">
        <v>19</v>
      </c>
      <c r="B247" s="58" t="s">
        <v>19</v>
      </c>
      <c r="C247" s="58" t="s">
        <v>23</v>
      </c>
      <c r="D247" s="58" t="s">
        <v>19</v>
      </c>
      <c r="E247" s="58" t="s">
        <v>25</v>
      </c>
      <c r="F247" s="58" t="s">
        <v>19</v>
      </c>
      <c r="G247" s="58" t="s">
        <v>44</v>
      </c>
      <c r="H247" s="58" t="s">
        <v>20</v>
      </c>
      <c r="I247" s="58" t="s">
        <v>25</v>
      </c>
      <c r="J247" s="58" t="s">
        <v>19</v>
      </c>
      <c r="K247" s="58" t="s">
        <v>19</v>
      </c>
      <c r="L247" s="58" t="s">
        <v>21</v>
      </c>
      <c r="M247" s="58" t="s">
        <v>38</v>
      </c>
      <c r="N247" s="58" t="s">
        <v>19</v>
      </c>
      <c r="O247" s="58" t="s">
        <v>25</v>
      </c>
      <c r="P247" s="58" t="s">
        <v>23</v>
      </c>
      <c r="Q247" s="58" t="s">
        <v>40</v>
      </c>
      <c r="R247" s="160"/>
      <c r="S247" s="68" t="s">
        <v>0</v>
      </c>
      <c r="T247" s="1">
        <v>47.6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4">
        <f t="shared" si="76"/>
        <v>47.6</v>
      </c>
      <c r="AB247" s="63">
        <v>2018</v>
      </c>
      <c r="AC247" s="9"/>
      <c r="AD247" s="109"/>
      <c r="AE247" s="109"/>
    </row>
    <row r="248" spans="1:31" s="77" customFormat="1" ht="46.9" hidden="1" customHeight="1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83" t="s">
        <v>209</v>
      </c>
      <c r="S248" s="96" t="s">
        <v>184</v>
      </c>
      <c r="T248" s="3">
        <v>65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53">
        <f t="shared" si="76"/>
        <v>65</v>
      </c>
      <c r="AB248" s="42">
        <v>2018</v>
      </c>
      <c r="AC248" s="75"/>
      <c r="AD248" s="92"/>
      <c r="AE248" s="92"/>
    </row>
    <row r="249" spans="1:31" ht="15.6" customHeight="1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158" t="s">
        <v>143</v>
      </c>
      <c r="S249" s="68" t="s">
        <v>0</v>
      </c>
      <c r="T249" s="64">
        <f>SUM(T250:T253)</f>
        <v>3440.1</v>
      </c>
      <c r="U249" s="64">
        <f>SUM(U252:U255)</f>
        <v>3731.7</v>
      </c>
      <c r="V249" s="64">
        <f t="shared" ref="V249:Z249" si="77">SUM(V250:V253)</f>
        <v>0</v>
      </c>
      <c r="W249" s="64">
        <f t="shared" si="77"/>
        <v>0</v>
      </c>
      <c r="X249" s="64">
        <f t="shared" si="77"/>
        <v>0</v>
      </c>
      <c r="Y249" s="64">
        <f t="shared" si="77"/>
        <v>0</v>
      </c>
      <c r="Z249" s="64">
        <f t="shared" si="77"/>
        <v>0</v>
      </c>
      <c r="AA249" s="64">
        <f t="shared" si="76"/>
        <v>7171.7999999999993</v>
      </c>
      <c r="AB249" s="63">
        <v>2018</v>
      </c>
      <c r="AC249" s="133"/>
      <c r="AD249" s="109"/>
      <c r="AE249" s="109"/>
    </row>
    <row r="250" spans="1:31" x14ac:dyDescent="0.25">
      <c r="A250" s="58" t="s">
        <v>19</v>
      </c>
      <c r="B250" s="58" t="s">
        <v>19</v>
      </c>
      <c r="C250" s="58" t="s">
        <v>25</v>
      </c>
      <c r="D250" s="58" t="s">
        <v>19</v>
      </c>
      <c r="E250" s="58" t="s">
        <v>19</v>
      </c>
      <c r="F250" s="58" t="s">
        <v>19</v>
      </c>
      <c r="G250" s="58" t="s">
        <v>19</v>
      </c>
      <c r="H250" s="58" t="s">
        <v>20</v>
      </c>
      <c r="I250" s="58" t="s">
        <v>25</v>
      </c>
      <c r="J250" s="58" t="s">
        <v>19</v>
      </c>
      <c r="K250" s="58" t="s">
        <v>19</v>
      </c>
      <c r="L250" s="58" t="s">
        <v>21</v>
      </c>
      <c r="M250" s="58" t="s">
        <v>20</v>
      </c>
      <c r="N250" s="58" t="s">
        <v>19</v>
      </c>
      <c r="O250" s="58" t="s">
        <v>25</v>
      </c>
      <c r="P250" s="58" t="s">
        <v>23</v>
      </c>
      <c r="Q250" s="58" t="s">
        <v>46</v>
      </c>
      <c r="R250" s="159"/>
      <c r="S250" s="68" t="s">
        <v>0</v>
      </c>
      <c r="T250" s="1">
        <f>T259+T265+T270+T275+T280+T285</f>
        <v>1609.7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4">
        <f t="shared" si="76"/>
        <v>1609.7</v>
      </c>
      <c r="AB250" s="63">
        <v>2018</v>
      </c>
      <c r="AC250" s="133"/>
      <c r="AD250" s="109"/>
      <c r="AE250" s="109"/>
    </row>
    <row r="251" spans="1:31" ht="15.6" hidden="1" customHeight="1" x14ac:dyDescent="0.25">
      <c r="A251" s="58" t="s">
        <v>19</v>
      </c>
      <c r="B251" s="58" t="s">
        <v>19</v>
      </c>
      <c r="C251" s="58" t="s">
        <v>25</v>
      </c>
      <c r="D251" s="58" t="s">
        <v>19</v>
      </c>
      <c r="E251" s="58" t="s">
        <v>19</v>
      </c>
      <c r="F251" s="58" t="s">
        <v>19</v>
      </c>
      <c r="G251" s="58" t="s">
        <v>19</v>
      </c>
      <c r="H251" s="58" t="s">
        <v>20</v>
      </c>
      <c r="I251" s="58" t="s">
        <v>25</v>
      </c>
      <c r="J251" s="58" t="s">
        <v>19</v>
      </c>
      <c r="K251" s="58" t="s">
        <v>19</v>
      </c>
      <c r="L251" s="58" t="s">
        <v>21</v>
      </c>
      <c r="M251" s="58" t="s">
        <v>38</v>
      </c>
      <c r="N251" s="58" t="s">
        <v>19</v>
      </c>
      <c r="O251" s="58" t="s">
        <v>44</v>
      </c>
      <c r="P251" s="58" t="s">
        <v>23</v>
      </c>
      <c r="Q251" s="58" t="s">
        <v>187</v>
      </c>
      <c r="R251" s="159"/>
      <c r="S251" s="68" t="s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64">
        <f t="shared" si="76"/>
        <v>0</v>
      </c>
      <c r="AB251" s="63">
        <v>2018</v>
      </c>
      <c r="AC251" s="133"/>
      <c r="AD251" s="109"/>
      <c r="AE251" s="109"/>
    </row>
    <row r="252" spans="1:31" x14ac:dyDescent="0.25">
      <c r="A252" s="58" t="s">
        <v>19</v>
      </c>
      <c r="B252" s="58" t="s">
        <v>19</v>
      </c>
      <c r="C252" s="58" t="s">
        <v>25</v>
      </c>
      <c r="D252" s="58" t="s">
        <v>19</v>
      </c>
      <c r="E252" s="58" t="s">
        <v>19</v>
      </c>
      <c r="F252" s="58" t="s">
        <v>19</v>
      </c>
      <c r="G252" s="58" t="s">
        <v>19</v>
      </c>
      <c r="H252" s="58" t="s">
        <v>20</v>
      </c>
      <c r="I252" s="58" t="s">
        <v>25</v>
      </c>
      <c r="J252" s="58" t="s">
        <v>19</v>
      </c>
      <c r="K252" s="58" t="s">
        <v>19</v>
      </c>
      <c r="L252" s="58" t="s">
        <v>21</v>
      </c>
      <c r="M252" s="58" t="s">
        <v>38</v>
      </c>
      <c r="N252" s="58" t="s">
        <v>19</v>
      </c>
      <c r="O252" s="58" t="s">
        <v>25</v>
      </c>
      <c r="P252" s="58" t="s">
        <v>23</v>
      </c>
      <c r="Q252" s="58" t="s">
        <v>47</v>
      </c>
      <c r="R252" s="159"/>
      <c r="S252" s="68" t="s">
        <v>0</v>
      </c>
      <c r="T252" s="1">
        <f>T261+T266+T271+T276+T281+T286</f>
        <v>441.79999999999995</v>
      </c>
      <c r="U252" s="1">
        <v>394.2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64">
        <f t="shared" si="76"/>
        <v>836</v>
      </c>
      <c r="AB252" s="63">
        <v>2018</v>
      </c>
      <c r="AC252" s="133"/>
      <c r="AD252" s="109"/>
      <c r="AE252" s="109"/>
    </row>
    <row r="253" spans="1:31" x14ac:dyDescent="0.25">
      <c r="A253" s="58" t="s">
        <v>19</v>
      </c>
      <c r="B253" s="58" t="s">
        <v>19</v>
      </c>
      <c r="C253" s="58" t="s">
        <v>25</v>
      </c>
      <c r="D253" s="58" t="s">
        <v>19</v>
      </c>
      <c r="E253" s="58" t="s">
        <v>19</v>
      </c>
      <c r="F253" s="58" t="s">
        <v>19</v>
      </c>
      <c r="G253" s="58" t="s">
        <v>19</v>
      </c>
      <c r="H253" s="58" t="s">
        <v>20</v>
      </c>
      <c r="I253" s="58" t="s">
        <v>25</v>
      </c>
      <c r="J253" s="58" t="s">
        <v>19</v>
      </c>
      <c r="K253" s="58" t="s">
        <v>19</v>
      </c>
      <c r="L253" s="58" t="s">
        <v>21</v>
      </c>
      <c r="M253" s="58" t="s">
        <v>38</v>
      </c>
      <c r="N253" s="58" t="s">
        <v>19</v>
      </c>
      <c r="O253" s="58" t="s">
        <v>25</v>
      </c>
      <c r="P253" s="58" t="s">
        <v>23</v>
      </c>
      <c r="Q253" s="58" t="s">
        <v>40</v>
      </c>
      <c r="R253" s="159"/>
      <c r="S253" s="68" t="s">
        <v>0</v>
      </c>
      <c r="T253" s="1">
        <v>1388.6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4">
        <f t="shared" si="76"/>
        <v>1388.6</v>
      </c>
      <c r="AB253" s="63">
        <v>2019</v>
      </c>
      <c r="AC253" s="133"/>
      <c r="AD253" s="109"/>
      <c r="AE253" s="109"/>
    </row>
    <row r="254" spans="1:31" x14ac:dyDescent="0.25">
      <c r="A254" s="58" t="s">
        <v>19</v>
      </c>
      <c r="B254" s="58" t="s">
        <v>19</v>
      </c>
      <c r="C254" s="58" t="s">
        <v>25</v>
      </c>
      <c r="D254" s="58" t="s">
        <v>19</v>
      </c>
      <c r="E254" s="58" t="s">
        <v>19</v>
      </c>
      <c r="F254" s="58" t="s">
        <v>19</v>
      </c>
      <c r="G254" s="58" t="s">
        <v>19</v>
      </c>
      <c r="H254" s="58" t="s">
        <v>20</v>
      </c>
      <c r="I254" s="58" t="s">
        <v>25</v>
      </c>
      <c r="J254" s="58" t="s">
        <v>19</v>
      </c>
      <c r="K254" s="58" t="s">
        <v>19</v>
      </c>
      <c r="L254" s="58" t="s">
        <v>21</v>
      </c>
      <c r="M254" s="58" t="s">
        <v>20</v>
      </c>
      <c r="N254" s="58" t="s">
        <v>19</v>
      </c>
      <c r="O254" s="58" t="s">
        <v>25</v>
      </c>
      <c r="P254" s="58" t="s">
        <v>23</v>
      </c>
      <c r="Q254" s="58" t="s">
        <v>19</v>
      </c>
      <c r="R254" s="159"/>
      <c r="S254" s="68" t="s">
        <v>0</v>
      </c>
      <c r="T254" s="1">
        <v>0</v>
      </c>
      <c r="U254" s="1">
        <v>1865.4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4">
        <f>SUM(T254:Y254)</f>
        <v>1865.4</v>
      </c>
      <c r="AB254" s="63">
        <v>2019</v>
      </c>
      <c r="AC254" s="133"/>
      <c r="AD254" s="109"/>
      <c r="AE254" s="109"/>
    </row>
    <row r="255" spans="1:31" x14ac:dyDescent="0.25">
      <c r="A255" s="58" t="s">
        <v>19</v>
      </c>
      <c r="B255" s="58" t="s">
        <v>19</v>
      </c>
      <c r="C255" s="58" t="s">
        <v>25</v>
      </c>
      <c r="D255" s="58" t="s">
        <v>19</v>
      </c>
      <c r="E255" s="58" t="s">
        <v>19</v>
      </c>
      <c r="F255" s="58" t="s">
        <v>19</v>
      </c>
      <c r="G255" s="58" t="s">
        <v>19</v>
      </c>
      <c r="H255" s="58" t="s">
        <v>20</v>
      </c>
      <c r="I255" s="58" t="s">
        <v>25</v>
      </c>
      <c r="J255" s="58" t="s">
        <v>19</v>
      </c>
      <c r="K255" s="58" t="s">
        <v>19</v>
      </c>
      <c r="L255" s="58" t="s">
        <v>21</v>
      </c>
      <c r="M255" s="58" t="s">
        <v>38</v>
      </c>
      <c r="N255" s="58" t="s">
        <v>19</v>
      </c>
      <c r="O255" s="58" t="s">
        <v>25</v>
      </c>
      <c r="P255" s="58" t="s">
        <v>23</v>
      </c>
      <c r="Q255" s="58" t="s">
        <v>19</v>
      </c>
      <c r="R255" s="160"/>
      <c r="S255" s="68" t="s">
        <v>0</v>
      </c>
      <c r="T255" s="1">
        <v>0</v>
      </c>
      <c r="U255" s="1">
        <v>1472.1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4">
        <f t="shared" ref="AA255" si="78">SUM(T255:Y255)</f>
        <v>1472.1</v>
      </c>
      <c r="AB255" s="63">
        <v>2019</v>
      </c>
      <c r="AC255" s="133"/>
      <c r="AD255" s="109"/>
      <c r="AE255" s="109"/>
    </row>
    <row r="256" spans="1:31" ht="47.25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85" t="s">
        <v>335</v>
      </c>
      <c r="S256" s="67" t="s">
        <v>53</v>
      </c>
      <c r="T256" s="3">
        <v>0.2</v>
      </c>
      <c r="U256" s="3">
        <v>1.2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6">
        <f t="shared" si="76"/>
        <v>1.4</v>
      </c>
      <c r="AB256" s="42">
        <v>2019</v>
      </c>
      <c r="AC256" s="137"/>
      <c r="AD256" s="109"/>
      <c r="AE256" s="109"/>
    </row>
    <row r="257" spans="1:31" ht="47.25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85" t="s">
        <v>336</v>
      </c>
      <c r="S257" s="91" t="s">
        <v>51</v>
      </c>
      <c r="T257" s="45">
        <v>6</v>
      </c>
      <c r="U257" s="45">
        <v>5</v>
      </c>
      <c r="V257" s="45">
        <v>0</v>
      </c>
      <c r="W257" s="45">
        <v>0</v>
      </c>
      <c r="X257" s="45">
        <v>0</v>
      </c>
      <c r="Y257" s="45">
        <v>0</v>
      </c>
      <c r="Z257" s="45">
        <v>0</v>
      </c>
      <c r="AA257" s="53">
        <f t="shared" si="76"/>
        <v>11</v>
      </c>
      <c r="AB257" s="42">
        <v>2019</v>
      </c>
      <c r="AC257" s="137"/>
      <c r="AD257" s="109"/>
      <c r="AE257" s="109"/>
    </row>
    <row r="258" spans="1:31" ht="16.350000000000001" hidden="1" customHeight="1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158" t="s">
        <v>210</v>
      </c>
      <c r="S258" s="68" t="s">
        <v>0</v>
      </c>
      <c r="T258" s="1">
        <f>SUM(T259:T262)</f>
        <v>943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4">
        <f t="shared" si="76"/>
        <v>943</v>
      </c>
      <c r="AB258" s="63">
        <v>2018</v>
      </c>
      <c r="AC258" s="9"/>
      <c r="AD258" s="109"/>
      <c r="AE258" s="109"/>
    </row>
    <row r="259" spans="1:31" ht="16.350000000000001" hidden="1" customHeight="1" x14ac:dyDescent="0.25">
      <c r="A259" s="58" t="s">
        <v>19</v>
      </c>
      <c r="B259" s="58" t="s">
        <v>19</v>
      </c>
      <c r="C259" s="58" t="s">
        <v>25</v>
      </c>
      <c r="D259" s="58" t="s">
        <v>19</v>
      </c>
      <c r="E259" s="58" t="s">
        <v>25</v>
      </c>
      <c r="F259" s="58" t="s">
        <v>19</v>
      </c>
      <c r="G259" s="58" t="s">
        <v>44</v>
      </c>
      <c r="H259" s="58" t="s">
        <v>20</v>
      </c>
      <c r="I259" s="58" t="s">
        <v>25</v>
      </c>
      <c r="J259" s="58" t="s">
        <v>19</v>
      </c>
      <c r="K259" s="58" t="s">
        <v>19</v>
      </c>
      <c r="L259" s="58" t="s">
        <v>21</v>
      </c>
      <c r="M259" s="58" t="s">
        <v>20</v>
      </c>
      <c r="N259" s="58" t="s">
        <v>19</v>
      </c>
      <c r="O259" s="58" t="s">
        <v>25</v>
      </c>
      <c r="P259" s="58" t="s">
        <v>23</v>
      </c>
      <c r="Q259" s="58" t="s">
        <v>46</v>
      </c>
      <c r="R259" s="159"/>
      <c r="S259" s="68" t="s">
        <v>0</v>
      </c>
      <c r="T259" s="1">
        <v>377.2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64">
        <f t="shared" si="76"/>
        <v>377.2</v>
      </c>
      <c r="AB259" s="63">
        <v>2018</v>
      </c>
      <c r="AC259" s="9"/>
      <c r="AD259" s="109"/>
      <c r="AE259" s="109"/>
    </row>
    <row r="260" spans="1:31" ht="16.350000000000001" hidden="1" customHeight="1" x14ac:dyDescent="0.25">
      <c r="A260" s="58" t="s">
        <v>19</v>
      </c>
      <c r="B260" s="58" t="s">
        <v>19</v>
      </c>
      <c r="C260" s="58" t="s">
        <v>25</v>
      </c>
      <c r="D260" s="58" t="s">
        <v>19</v>
      </c>
      <c r="E260" s="58" t="s">
        <v>25</v>
      </c>
      <c r="F260" s="58" t="s">
        <v>19</v>
      </c>
      <c r="G260" s="58" t="s">
        <v>44</v>
      </c>
      <c r="H260" s="58" t="s">
        <v>20</v>
      </c>
      <c r="I260" s="58" t="s">
        <v>25</v>
      </c>
      <c r="J260" s="58" t="s">
        <v>19</v>
      </c>
      <c r="K260" s="58" t="s">
        <v>19</v>
      </c>
      <c r="L260" s="58" t="s">
        <v>21</v>
      </c>
      <c r="M260" s="58" t="s">
        <v>38</v>
      </c>
      <c r="N260" s="58" t="s">
        <v>19</v>
      </c>
      <c r="O260" s="58" t="s">
        <v>44</v>
      </c>
      <c r="P260" s="58" t="s">
        <v>23</v>
      </c>
      <c r="Q260" s="58" t="s">
        <v>187</v>
      </c>
      <c r="R260" s="159"/>
      <c r="S260" s="68" t="s">
        <v>0</v>
      </c>
      <c r="T260" s="1">
        <v>30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64">
        <f t="shared" si="76"/>
        <v>30</v>
      </c>
      <c r="AB260" s="63">
        <v>2018</v>
      </c>
      <c r="AC260" s="9"/>
      <c r="AD260" s="109"/>
      <c r="AE260" s="109"/>
    </row>
    <row r="261" spans="1:31" ht="16.350000000000001" hidden="1" customHeight="1" x14ac:dyDescent="0.25">
      <c r="A261" s="58" t="s">
        <v>19</v>
      </c>
      <c r="B261" s="58" t="s">
        <v>19</v>
      </c>
      <c r="C261" s="58" t="s">
        <v>25</v>
      </c>
      <c r="D261" s="58" t="s">
        <v>19</v>
      </c>
      <c r="E261" s="58" t="s">
        <v>25</v>
      </c>
      <c r="F261" s="58" t="s">
        <v>19</v>
      </c>
      <c r="G261" s="58" t="s">
        <v>44</v>
      </c>
      <c r="H261" s="58" t="s">
        <v>20</v>
      </c>
      <c r="I261" s="58" t="s">
        <v>25</v>
      </c>
      <c r="J261" s="58" t="s">
        <v>19</v>
      </c>
      <c r="K261" s="58" t="s">
        <v>19</v>
      </c>
      <c r="L261" s="58" t="s">
        <v>21</v>
      </c>
      <c r="M261" s="58" t="s">
        <v>38</v>
      </c>
      <c r="N261" s="58" t="s">
        <v>19</v>
      </c>
      <c r="O261" s="58" t="s">
        <v>25</v>
      </c>
      <c r="P261" s="58" t="s">
        <v>23</v>
      </c>
      <c r="Q261" s="58" t="s">
        <v>47</v>
      </c>
      <c r="R261" s="159"/>
      <c r="S261" s="68" t="s">
        <v>0</v>
      </c>
      <c r="T261" s="1">
        <v>113.2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4">
        <f t="shared" si="76"/>
        <v>113.2</v>
      </c>
      <c r="AB261" s="63">
        <v>2018</v>
      </c>
      <c r="AC261" s="9"/>
      <c r="AD261" s="109"/>
      <c r="AE261" s="109"/>
    </row>
    <row r="262" spans="1:31" ht="16.350000000000001" hidden="1" customHeight="1" x14ac:dyDescent="0.25">
      <c r="A262" s="58" t="s">
        <v>19</v>
      </c>
      <c r="B262" s="58" t="s">
        <v>19</v>
      </c>
      <c r="C262" s="58" t="s">
        <v>25</v>
      </c>
      <c r="D262" s="58" t="s">
        <v>19</v>
      </c>
      <c r="E262" s="58" t="s">
        <v>25</v>
      </c>
      <c r="F262" s="58" t="s">
        <v>19</v>
      </c>
      <c r="G262" s="58" t="s">
        <v>44</v>
      </c>
      <c r="H262" s="58" t="s">
        <v>20</v>
      </c>
      <c r="I262" s="58" t="s">
        <v>25</v>
      </c>
      <c r="J262" s="58" t="s">
        <v>19</v>
      </c>
      <c r="K262" s="58" t="s">
        <v>19</v>
      </c>
      <c r="L262" s="58" t="s">
        <v>21</v>
      </c>
      <c r="M262" s="58" t="s">
        <v>38</v>
      </c>
      <c r="N262" s="58" t="s">
        <v>19</v>
      </c>
      <c r="O262" s="58" t="s">
        <v>25</v>
      </c>
      <c r="P262" s="58" t="s">
        <v>23</v>
      </c>
      <c r="Q262" s="58" t="s">
        <v>40</v>
      </c>
      <c r="R262" s="160"/>
      <c r="S262" s="68" t="s">
        <v>0</v>
      </c>
      <c r="T262" s="1">
        <v>422.6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4">
        <f t="shared" si="76"/>
        <v>422.6</v>
      </c>
      <c r="AB262" s="63">
        <v>2018</v>
      </c>
      <c r="AC262" s="9"/>
      <c r="AD262" s="109"/>
      <c r="AE262" s="109"/>
    </row>
    <row r="263" spans="1:31" ht="33.6" hidden="1" customHeight="1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95" t="s">
        <v>211</v>
      </c>
      <c r="S263" s="91" t="s">
        <v>184</v>
      </c>
      <c r="T263" s="3">
        <v>1046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6">
        <f t="shared" si="76"/>
        <v>1046</v>
      </c>
      <c r="AB263" s="42">
        <v>2018</v>
      </c>
      <c r="AC263" s="9"/>
      <c r="AD263" s="109"/>
      <c r="AE263" s="109"/>
    </row>
    <row r="264" spans="1:31" ht="21.75" hidden="1" customHeight="1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158" t="s">
        <v>212</v>
      </c>
      <c r="S264" s="68" t="s">
        <v>0</v>
      </c>
      <c r="T264" s="1">
        <f>SUM(T265:T267)</f>
        <v>835.4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4">
        <f>SUM(T264:Y264)</f>
        <v>835.4</v>
      </c>
      <c r="AB264" s="63">
        <v>2018</v>
      </c>
      <c r="AC264" s="9"/>
      <c r="AD264" s="109"/>
      <c r="AE264" s="109"/>
    </row>
    <row r="265" spans="1:31" ht="22.9" hidden="1" customHeight="1" x14ac:dyDescent="0.25">
      <c r="A265" s="58" t="s">
        <v>19</v>
      </c>
      <c r="B265" s="58" t="s">
        <v>19</v>
      </c>
      <c r="C265" s="58" t="s">
        <v>25</v>
      </c>
      <c r="D265" s="58" t="s">
        <v>19</v>
      </c>
      <c r="E265" s="58" t="s">
        <v>22</v>
      </c>
      <c r="F265" s="58" t="s">
        <v>19</v>
      </c>
      <c r="G265" s="58" t="s">
        <v>23</v>
      </c>
      <c r="H265" s="58" t="s">
        <v>20</v>
      </c>
      <c r="I265" s="58" t="s">
        <v>25</v>
      </c>
      <c r="J265" s="58" t="s">
        <v>19</v>
      </c>
      <c r="K265" s="58" t="s">
        <v>19</v>
      </c>
      <c r="L265" s="58" t="s">
        <v>21</v>
      </c>
      <c r="M265" s="58" t="s">
        <v>20</v>
      </c>
      <c r="N265" s="58" t="s">
        <v>19</v>
      </c>
      <c r="O265" s="58" t="s">
        <v>25</v>
      </c>
      <c r="P265" s="58" t="s">
        <v>23</v>
      </c>
      <c r="Q265" s="58" t="s">
        <v>46</v>
      </c>
      <c r="R265" s="159"/>
      <c r="S265" s="68" t="s">
        <v>0</v>
      </c>
      <c r="T265" s="1">
        <v>334.2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4">
        <f>SUM(T265:Y265)</f>
        <v>334.2</v>
      </c>
      <c r="AB265" s="63">
        <v>2018</v>
      </c>
      <c r="AC265" s="9"/>
      <c r="AD265" s="109"/>
      <c r="AE265" s="109"/>
    </row>
    <row r="266" spans="1:31" ht="22.15" hidden="1" customHeight="1" x14ac:dyDescent="0.25">
      <c r="A266" s="58" t="s">
        <v>19</v>
      </c>
      <c r="B266" s="58" t="s">
        <v>19</v>
      </c>
      <c r="C266" s="58" t="s">
        <v>25</v>
      </c>
      <c r="D266" s="58" t="s">
        <v>19</v>
      </c>
      <c r="E266" s="58" t="s">
        <v>22</v>
      </c>
      <c r="F266" s="58" t="s">
        <v>19</v>
      </c>
      <c r="G266" s="58" t="s">
        <v>23</v>
      </c>
      <c r="H266" s="58" t="s">
        <v>20</v>
      </c>
      <c r="I266" s="58" t="s">
        <v>25</v>
      </c>
      <c r="J266" s="58" t="s">
        <v>19</v>
      </c>
      <c r="K266" s="58" t="s">
        <v>19</v>
      </c>
      <c r="L266" s="58" t="s">
        <v>21</v>
      </c>
      <c r="M266" s="58" t="s">
        <v>38</v>
      </c>
      <c r="N266" s="58" t="s">
        <v>19</v>
      </c>
      <c r="O266" s="58" t="s">
        <v>25</v>
      </c>
      <c r="P266" s="58" t="s">
        <v>23</v>
      </c>
      <c r="Q266" s="58" t="s">
        <v>47</v>
      </c>
      <c r="R266" s="159"/>
      <c r="S266" s="68" t="s">
        <v>0</v>
      </c>
      <c r="T266" s="1">
        <v>83.5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64">
        <f>SUM(T266:Y266)</f>
        <v>83.5</v>
      </c>
      <c r="AB266" s="63">
        <v>2018</v>
      </c>
      <c r="AC266" s="9"/>
      <c r="AD266" s="109"/>
      <c r="AE266" s="109"/>
    </row>
    <row r="267" spans="1:31" ht="21.75" hidden="1" customHeight="1" x14ac:dyDescent="0.25">
      <c r="A267" s="58" t="s">
        <v>19</v>
      </c>
      <c r="B267" s="58" t="s">
        <v>19</v>
      </c>
      <c r="C267" s="58" t="s">
        <v>25</v>
      </c>
      <c r="D267" s="58" t="s">
        <v>19</v>
      </c>
      <c r="E267" s="58" t="s">
        <v>22</v>
      </c>
      <c r="F267" s="58" t="s">
        <v>19</v>
      </c>
      <c r="G267" s="58" t="s">
        <v>23</v>
      </c>
      <c r="H267" s="58" t="s">
        <v>20</v>
      </c>
      <c r="I267" s="58" t="s">
        <v>25</v>
      </c>
      <c r="J267" s="58" t="s">
        <v>19</v>
      </c>
      <c r="K267" s="58" t="s">
        <v>19</v>
      </c>
      <c r="L267" s="58" t="s">
        <v>21</v>
      </c>
      <c r="M267" s="58" t="s">
        <v>38</v>
      </c>
      <c r="N267" s="58" t="s">
        <v>19</v>
      </c>
      <c r="O267" s="58" t="s">
        <v>25</v>
      </c>
      <c r="P267" s="58" t="s">
        <v>23</v>
      </c>
      <c r="Q267" s="58" t="s">
        <v>40</v>
      </c>
      <c r="R267" s="160"/>
      <c r="S267" s="68" t="s">
        <v>0</v>
      </c>
      <c r="T267" s="1">
        <v>417.7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4">
        <f>SUM(T267:Y267)</f>
        <v>417.7</v>
      </c>
      <c r="AB267" s="63">
        <v>2018</v>
      </c>
      <c r="AC267" s="9"/>
      <c r="AD267" s="109"/>
      <c r="AE267" s="109"/>
    </row>
    <row r="268" spans="1:31" ht="47.45" hidden="1" customHeight="1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95" t="s">
        <v>213</v>
      </c>
      <c r="S268" s="91" t="s">
        <v>8</v>
      </c>
      <c r="T268" s="45">
        <v>1</v>
      </c>
      <c r="U268" s="45">
        <v>0</v>
      </c>
      <c r="V268" s="45">
        <v>0</v>
      </c>
      <c r="W268" s="45">
        <v>0</v>
      </c>
      <c r="X268" s="45">
        <v>0</v>
      </c>
      <c r="Y268" s="45">
        <v>0</v>
      </c>
      <c r="Z268" s="45">
        <v>0</v>
      </c>
      <c r="AA268" s="6">
        <f>SUM(T268:Y268)</f>
        <v>1</v>
      </c>
      <c r="AB268" s="42">
        <v>2018</v>
      </c>
      <c r="AC268" s="9"/>
      <c r="AD268" s="109"/>
      <c r="AE268" s="109"/>
    </row>
    <row r="269" spans="1:31" ht="16.350000000000001" hidden="1" customHeight="1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158" t="s">
        <v>214</v>
      </c>
      <c r="S269" s="68" t="s">
        <v>0</v>
      </c>
      <c r="T269" s="1">
        <f>SUM(T270:T272)</f>
        <v>952.5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4">
        <f t="shared" ref="AA269:AA298" si="79">SUM(T269:Y269)</f>
        <v>952.5</v>
      </c>
      <c r="AB269" s="63">
        <v>2018</v>
      </c>
      <c r="AC269" s="9"/>
      <c r="AD269" s="109"/>
      <c r="AE269" s="109"/>
    </row>
    <row r="270" spans="1:31" ht="16.350000000000001" hidden="1" customHeight="1" x14ac:dyDescent="0.25">
      <c r="A270" s="58" t="s">
        <v>19</v>
      </c>
      <c r="B270" s="58" t="s">
        <v>19</v>
      </c>
      <c r="C270" s="58" t="s">
        <v>25</v>
      </c>
      <c r="D270" s="58" t="s">
        <v>19</v>
      </c>
      <c r="E270" s="58" t="s">
        <v>22</v>
      </c>
      <c r="F270" s="58" t="s">
        <v>19</v>
      </c>
      <c r="G270" s="58" t="s">
        <v>23</v>
      </c>
      <c r="H270" s="58" t="s">
        <v>20</v>
      </c>
      <c r="I270" s="58" t="s">
        <v>25</v>
      </c>
      <c r="J270" s="58" t="s">
        <v>19</v>
      </c>
      <c r="K270" s="58" t="s">
        <v>19</v>
      </c>
      <c r="L270" s="58" t="s">
        <v>21</v>
      </c>
      <c r="M270" s="58" t="s">
        <v>20</v>
      </c>
      <c r="N270" s="58" t="s">
        <v>19</v>
      </c>
      <c r="O270" s="58" t="s">
        <v>25</v>
      </c>
      <c r="P270" s="58" t="s">
        <v>23</v>
      </c>
      <c r="Q270" s="58" t="s">
        <v>46</v>
      </c>
      <c r="R270" s="159"/>
      <c r="S270" s="68" t="s">
        <v>0</v>
      </c>
      <c r="T270" s="1">
        <v>381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4">
        <f t="shared" si="79"/>
        <v>381</v>
      </c>
      <c r="AB270" s="63">
        <v>2018</v>
      </c>
      <c r="AC270" s="9"/>
      <c r="AD270" s="109"/>
      <c r="AE270" s="109"/>
    </row>
    <row r="271" spans="1:31" ht="16.350000000000001" hidden="1" customHeight="1" x14ac:dyDescent="0.25">
      <c r="A271" s="58" t="s">
        <v>19</v>
      </c>
      <c r="B271" s="58" t="s">
        <v>19</v>
      </c>
      <c r="C271" s="58" t="s">
        <v>25</v>
      </c>
      <c r="D271" s="58" t="s">
        <v>19</v>
      </c>
      <c r="E271" s="58" t="s">
        <v>22</v>
      </c>
      <c r="F271" s="58" t="s">
        <v>19</v>
      </c>
      <c r="G271" s="58" t="s">
        <v>23</v>
      </c>
      <c r="H271" s="58" t="s">
        <v>20</v>
      </c>
      <c r="I271" s="58" t="s">
        <v>25</v>
      </c>
      <c r="J271" s="58" t="s">
        <v>19</v>
      </c>
      <c r="K271" s="58" t="s">
        <v>19</v>
      </c>
      <c r="L271" s="58" t="s">
        <v>21</v>
      </c>
      <c r="M271" s="58" t="s">
        <v>38</v>
      </c>
      <c r="N271" s="58" t="s">
        <v>19</v>
      </c>
      <c r="O271" s="58" t="s">
        <v>25</v>
      </c>
      <c r="P271" s="58" t="s">
        <v>23</v>
      </c>
      <c r="Q271" s="58" t="s">
        <v>47</v>
      </c>
      <c r="R271" s="159"/>
      <c r="S271" s="68" t="s">
        <v>0</v>
      </c>
      <c r="T271" s="1">
        <v>114.3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64">
        <f t="shared" si="79"/>
        <v>114.3</v>
      </c>
      <c r="AB271" s="63">
        <v>2018</v>
      </c>
      <c r="AC271" s="9"/>
      <c r="AD271" s="109"/>
      <c r="AE271" s="109"/>
    </row>
    <row r="272" spans="1:31" ht="16.350000000000001" hidden="1" customHeight="1" x14ac:dyDescent="0.25">
      <c r="A272" s="58" t="s">
        <v>19</v>
      </c>
      <c r="B272" s="58" t="s">
        <v>19</v>
      </c>
      <c r="C272" s="58" t="s">
        <v>25</v>
      </c>
      <c r="D272" s="58" t="s">
        <v>19</v>
      </c>
      <c r="E272" s="58" t="s">
        <v>22</v>
      </c>
      <c r="F272" s="58" t="s">
        <v>19</v>
      </c>
      <c r="G272" s="58" t="s">
        <v>23</v>
      </c>
      <c r="H272" s="58" t="s">
        <v>20</v>
      </c>
      <c r="I272" s="58" t="s">
        <v>25</v>
      </c>
      <c r="J272" s="58" t="s">
        <v>19</v>
      </c>
      <c r="K272" s="58" t="s">
        <v>19</v>
      </c>
      <c r="L272" s="58" t="s">
        <v>21</v>
      </c>
      <c r="M272" s="58" t="s">
        <v>38</v>
      </c>
      <c r="N272" s="58" t="s">
        <v>19</v>
      </c>
      <c r="O272" s="58" t="s">
        <v>25</v>
      </c>
      <c r="P272" s="58" t="s">
        <v>23</v>
      </c>
      <c r="Q272" s="58" t="s">
        <v>40</v>
      </c>
      <c r="R272" s="160"/>
      <c r="S272" s="68" t="s">
        <v>0</v>
      </c>
      <c r="T272" s="1">
        <v>457.2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4">
        <f t="shared" si="79"/>
        <v>457.2</v>
      </c>
      <c r="AB272" s="63">
        <v>2018</v>
      </c>
      <c r="AC272" s="9"/>
      <c r="AD272" s="109"/>
      <c r="AE272" s="109"/>
    </row>
    <row r="273" spans="1:31" ht="31.15" hidden="1" customHeight="1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85" t="s">
        <v>215</v>
      </c>
      <c r="S273" s="91" t="s">
        <v>184</v>
      </c>
      <c r="T273" s="3">
        <v>151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6">
        <f t="shared" si="79"/>
        <v>151</v>
      </c>
      <c r="AB273" s="42">
        <v>2018</v>
      </c>
      <c r="AC273" s="9"/>
      <c r="AD273" s="109"/>
      <c r="AE273" s="109"/>
    </row>
    <row r="274" spans="1:31" ht="15.6" hidden="1" customHeight="1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158" t="s">
        <v>216</v>
      </c>
      <c r="S274" s="68" t="s">
        <v>0</v>
      </c>
      <c r="T274" s="1">
        <f>SUM(T275:T277)</f>
        <v>435.8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4">
        <f t="shared" si="79"/>
        <v>435.8</v>
      </c>
      <c r="AB274" s="63">
        <v>2018</v>
      </c>
      <c r="AC274" s="9"/>
      <c r="AD274" s="109"/>
      <c r="AE274" s="109"/>
    </row>
    <row r="275" spans="1:31" ht="15.6" hidden="1" customHeight="1" x14ac:dyDescent="0.25">
      <c r="A275" s="58" t="s">
        <v>19</v>
      </c>
      <c r="B275" s="58" t="s">
        <v>19</v>
      </c>
      <c r="C275" s="58" t="s">
        <v>25</v>
      </c>
      <c r="D275" s="58" t="s">
        <v>19</v>
      </c>
      <c r="E275" s="58" t="s">
        <v>22</v>
      </c>
      <c r="F275" s="58" t="s">
        <v>19</v>
      </c>
      <c r="G275" s="58" t="s">
        <v>23</v>
      </c>
      <c r="H275" s="58" t="s">
        <v>20</v>
      </c>
      <c r="I275" s="58" t="s">
        <v>25</v>
      </c>
      <c r="J275" s="58" t="s">
        <v>19</v>
      </c>
      <c r="K275" s="58" t="s">
        <v>19</v>
      </c>
      <c r="L275" s="58" t="s">
        <v>21</v>
      </c>
      <c r="M275" s="58" t="s">
        <v>20</v>
      </c>
      <c r="N275" s="58" t="s">
        <v>19</v>
      </c>
      <c r="O275" s="58" t="s">
        <v>25</v>
      </c>
      <c r="P275" s="58" t="s">
        <v>23</v>
      </c>
      <c r="Q275" s="58" t="s">
        <v>46</v>
      </c>
      <c r="R275" s="159"/>
      <c r="S275" s="68" t="s">
        <v>0</v>
      </c>
      <c r="T275" s="1">
        <v>174.3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4">
        <f t="shared" si="79"/>
        <v>174.3</v>
      </c>
      <c r="AB275" s="63">
        <v>2018</v>
      </c>
      <c r="AC275" s="9"/>
      <c r="AD275" s="109"/>
      <c r="AE275" s="109"/>
    </row>
    <row r="276" spans="1:31" ht="15.6" hidden="1" customHeight="1" x14ac:dyDescent="0.25">
      <c r="A276" s="58" t="s">
        <v>19</v>
      </c>
      <c r="B276" s="58" t="s">
        <v>19</v>
      </c>
      <c r="C276" s="58" t="s">
        <v>25</v>
      </c>
      <c r="D276" s="58" t="s">
        <v>19</v>
      </c>
      <c r="E276" s="58" t="s">
        <v>22</v>
      </c>
      <c r="F276" s="58" t="s">
        <v>19</v>
      </c>
      <c r="G276" s="58" t="s">
        <v>23</v>
      </c>
      <c r="H276" s="58" t="s">
        <v>20</v>
      </c>
      <c r="I276" s="58" t="s">
        <v>25</v>
      </c>
      <c r="J276" s="58" t="s">
        <v>19</v>
      </c>
      <c r="K276" s="58" t="s">
        <v>19</v>
      </c>
      <c r="L276" s="58" t="s">
        <v>21</v>
      </c>
      <c r="M276" s="58" t="s">
        <v>38</v>
      </c>
      <c r="N276" s="58" t="s">
        <v>19</v>
      </c>
      <c r="O276" s="58" t="s">
        <v>25</v>
      </c>
      <c r="P276" s="58" t="s">
        <v>23</v>
      </c>
      <c r="Q276" s="58" t="s">
        <v>47</v>
      </c>
      <c r="R276" s="159"/>
      <c r="S276" s="68" t="s">
        <v>0</v>
      </c>
      <c r="T276" s="1">
        <v>45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64">
        <f t="shared" si="79"/>
        <v>45</v>
      </c>
      <c r="AB276" s="63">
        <v>2018</v>
      </c>
      <c r="AC276" s="9"/>
      <c r="AD276" s="109"/>
      <c r="AE276" s="109"/>
    </row>
    <row r="277" spans="1:31" ht="15.6" hidden="1" customHeight="1" x14ac:dyDescent="0.25">
      <c r="A277" s="58" t="s">
        <v>19</v>
      </c>
      <c r="B277" s="58" t="s">
        <v>19</v>
      </c>
      <c r="C277" s="58" t="s">
        <v>25</v>
      </c>
      <c r="D277" s="58" t="s">
        <v>19</v>
      </c>
      <c r="E277" s="58" t="s">
        <v>22</v>
      </c>
      <c r="F277" s="58" t="s">
        <v>19</v>
      </c>
      <c r="G277" s="58" t="s">
        <v>23</v>
      </c>
      <c r="H277" s="58" t="s">
        <v>20</v>
      </c>
      <c r="I277" s="58" t="s">
        <v>25</v>
      </c>
      <c r="J277" s="58" t="s">
        <v>19</v>
      </c>
      <c r="K277" s="58" t="s">
        <v>19</v>
      </c>
      <c r="L277" s="58" t="s">
        <v>21</v>
      </c>
      <c r="M277" s="58" t="s">
        <v>38</v>
      </c>
      <c r="N277" s="58" t="s">
        <v>19</v>
      </c>
      <c r="O277" s="58" t="s">
        <v>25</v>
      </c>
      <c r="P277" s="58" t="s">
        <v>23</v>
      </c>
      <c r="Q277" s="58" t="s">
        <v>40</v>
      </c>
      <c r="R277" s="160"/>
      <c r="S277" s="68" t="s">
        <v>0</v>
      </c>
      <c r="T277" s="1">
        <v>216.5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4">
        <f t="shared" si="79"/>
        <v>216.5</v>
      </c>
      <c r="AB277" s="63">
        <v>2018</v>
      </c>
      <c r="AC277" s="9"/>
      <c r="AD277" s="109"/>
      <c r="AE277" s="109"/>
    </row>
    <row r="278" spans="1:31" ht="46.9" hidden="1" customHeight="1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85" t="s">
        <v>217</v>
      </c>
      <c r="S278" s="91" t="s">
        <v>51</v>
      </c>
      <c r="T278" s="45">
        <v>16</v>
      </c>
      <c r="U278" s="45">
        <v>0</v>
      </c>
      <c r="V278" s="45">
        <v>0</v>
      </c>
      <c r="W278" s="45">
        <v>0</v>
      </c>
      <c r="X278" s="45">
        <v>0</v>
      </c>
      <c r="Y278" s="45">
        <v>0</v>
      </c>
      <c r="Z278" s="45">
        <v>0</v>
      </c>
      <c r="AA278" s="53">
        <f t="shared" si="79"/>
        <v>16</v>
      </c>
      <c r="AB278" s="42">
        <v>2018</v>
      </c>
      <c r="AC278" s="9"/>
      <c r="AD278" s="109"/>
      <c r="AE278" s="109"/>
    </row>
    <row r="279" spans="1:31" ht="15.6" hidden="1" customHeight="1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158" t="s">
        <v>218</v>
      </c>
      <c r="S279" s="68" t="s">
        <v>0</v>
      </c>
      <c r="T279" s="1">
        <f>SUM(T280:T282)</f>
        <v>349.1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4">
        <f t="shared" si="79"/>
        <v>349.1</v>
      </c>
      <c r="AB279" s="63">
        <v>2018</v>
      </c>
      <c r="AC279" s="9"/>
      <c r="AD279" s="109"/>
      <c r="AE279" s="109"/>
    </row>
    <row r="280" spans="1:31" ht="15.6" hidden="1" customHeight="1" x14ac:dyDescent="0.25">
      <c r="A280" s="58" t="s">
        <v>19</v>
      </c>
      <c r="B280" s="58" t="s">
        <v>19</v>
      </c>
      <c r="C280" s="58" t="s">
        <v>25</v>
      </c>
      <c r="D280" s="58" t="s">
        <v>19</v>
      </c>
      <c r="E280" s="58" t="s">
        <v>22</v>
      </c>
      <c r="F280" s="58" t="s">
        <v>19</v>
      </c>
      <c r="G280" s="58" t="s">
        <v>23</v>
      </c>
      <c r="H280" s="58" t="s">
        <v>20</v>
      </c>
      <c r="I280" s="58" t="s">
        <v>25</v>
      </c>
      <c r="J280" s="58" t="s">
        <v>19</v>
      </c>
      <c r="K280" s="58" t="s">
        <v>19</v>
      </c>
      <c r="L280" s="58" t="s">
        <v>21</v>
      </c>
      <c r="M280" s="58" t="s">
        <v>20</v>
      </c>
      <c r="N280" s="58" t="s">
        <v>19</v>
      </c>
      <c r="O280" s="58" t="s">
        <v>25</v>
      </c>
      <c r="P280" s="58" t="s">
        <v>23</v>
      </c>
      <c r="Q280" s="58" t="s">
        <v>46</v>
      </c>
      <c r="R280" s="159"/>
      <c r="S280" s="68" t="s">
        <v>0</v>
      </c>
      <c r="T280" s="1">
        <v>139.6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4">
        <f t="shared" si="79"/>
        <v>139.6</v>
      </c>
      <c r="AB280" s="63">
        <v>2018</v>
      </c>
      <c r="AC280" s="9"/>
      <c r="AD280" s="109"/>
      <c r="AE280" s="109"/>
    </row>
    <row r="281" spans="1:31" ht="15.6" hidden="1" customHeight="1" x14ac:dyDescent="0.25">
      <c r="A281" s="58" t="s">
        <v>19</v>
      </c>
      <c r="B281" s="58" t="s">
        <v>19</v>
      </c>
      <c r="C281" s="58" t="s">
        <v>25</v>
      </c>
      <c r="D281" s="58" t="s">
        <v>19</v>
      </c>
      <c r="E281" s="58" t="s">
        <v>22</v>
      </c>
      <c r="F281" s="58" t="s">
        <v>19</v>
      </c>
      <c r="G281" s="58" t="s">
        <v>23</v>
      </c>
      <c r="H281" s="58" t="s">
        <v>20</v>
      </c>
      <c r="I281" s="58" t="s">
        <v>25</v>
      </c>
      <c r="J281" s="58" t="s">
        <v>19</v>
      </c>
      <c r="K281" s="58" t="s">
        <v>19</v>
      </c>
      <c r="L281" s="58" t="s">
        <v>21</v>
      </c>
      <c r="M281" s="58" t="s">
        <v>38</v>
      </c>
      <c r="N281" s="58" t="s">
        <v>19</v>
      </c>
      <c r="O281" s="58" t="s">
        <v>25</v>
      </c>
      <c r="P281" s="58" t="s">
        <v>23</v>
      </c>
      <c r="Q281" s="58" t="s">
        <v>47</v>
      </c>
      <c r="R281" s="159"/>
      <c r="S281" s="68" t="s">
        <v>0</v>
      </c>
      <c r="T281" s="1">
        <v>34.9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64">
        <f t="shared" si="79"/>
        <v>34.9</v>
      </c>
      <c r="AB281" s="63">
        <v>2018</v>
      </c>
      <c r="AC281" s="9"/>
      <c r="AD281" s="109"/>
      <c r="AE281" s="109"/>
    </row>
    <row r="282" spans="1:31" ht="15.6" hidden="1" customHeight="1" x14ac:dyDescent="0.25">
      <c r="A282" s="58" t="s">
        <v>19</v>
      </c>
      <c r="B282" s="58" t="s">
        <v>19</v>
      </c>
      <c r="C282" s="58" t="s">
        <v>25</v>
      </c>
      <c r="D282" s="58" t="s">
        <v>19</v>
      </c>
      <c r="E282" s="58" t="s">
        <v>22</v>
      </c>
      <c r="F282" s="58" t="s">
        <v>19</v>
      </c>
      <c r="G282" s="58" t="s">
        <v>23</v>
      </c>
      <c r="H282" s="58" t="s">
        <v>20</v>
      </c>
      <c r="I282" s="58" t="s">
        <v>25</v>
      </c>
      <c r="J282" s="58" t="s">
        <v>19</v>
      </c>
      <c r="K282" s="58" t="s">
        <v>19</v>
      </c>
      <c r="L282" s="58" t="s">
        <v>21</v>
      </c>
      <c r="M282" s="58" t="s">
        <v>38</v>
      </c>
      <c r="N282" s="58" t="s">
        <v>19</v>
      </c>
      <c r="O282" s="58" t="s">
        <v>25</v>
      </c>
      <c r="P282" s="58" t="s">
        <v>23</v>
      </c>
      <c r="Q282" s="58" t="s">
        <v>40</v>
      </c>
      <c r="R282" s="160"/>
      <c r="S282" s="68" t="s">
        <v>0</v>
      </c>
      <c r="T282" s="1">
        <v>174.6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4">
        <f t="shared" si="79"/>
        <v>174.6</v>
      </c>
      <c r="AB282" s="63">
        <v>2018</v>
      </c>
      <c r="AC282" s="9"/>
      <c r="AD282" s="109"/>
      <c r="AE282" s="109"/>
    </row>
    <row r="283" spans="1:31" ht="30.6" hidden="1" customHeight="1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85" t="s">
        <v>219</v>
      </c>
      <c r="S283" s="91" t="s">
        <v>185</v>
      </c>
      <c r="T283" s="3">
        <v>49.7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6">
        <f t="shared" si="79"/>
        <v>49.7</v>
      </c>
      <c r="AB283" s="42">
        <v>2018</v>
      </c>
      <c r="AC283" s="9"/>
      <c r="AD283" s="109"/>
      <c r="AE283" s="109"/>
    </row>
    <row r="284" spans="1:31" ht="15.6" hidden="1" customHeight="1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158" t="s">
        <v>220</v>
      </c>
      <c r="S284" s="68" t="s">
        <v>0</v>
      </c>
      <c r="T284" s="1">
        <f>SUM(T285:T287)</f>
        <v>508.5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4">
        <f t="shared" si="79"/>
        <v>508.5</v>
      </c>
      <c r="AB284" s="63">
        <v>2018</v>
      </c>
      <c r="AC284" s="9"/>
      <c r="AD284" s="109"/>
      <c r="AE284" s="109"/>
    </row>
    <row r="285" spans="1:31" ht="15.6" hidden="1" customHeight="1" x14ac:dyDescent="0.25">
      <c r="A285" s="58" t="s">
        <v>19</v>
      </c>
      <c r="B285" s="58" t="s">
        <v>19</v>
      </c>
      <c r="C285" s="58" t="s">
        <v>25</v>
      </c>
      <c r="D285" s="58" t="s">
        <v>19</v>
      </c>
      <c r="E285" s="58" t="s">
        <v>22</v>
      </c>
      <c r="F285" s="58" t="s">
        <v>19</v>
      </c>
      <c r="G285" s="58" t="s">
        <v>23</v>
      </c>
      <c r="H285" s="58" t="s">
        <v>20</v>
      </c>
      <c r="I285" s="58" t="s">
        <v>25</v>
      </c>
      <c r="J285" s="58" t="s">
        <v>19</v>
      </c>
      <c r="K285" s="58" t="s">
        <v>19</v>
      </c>
      <c r="L285" s="58" t="s">
        <v>21</v>
      </c>
      <c r="M285" s="58" t="s">
        <v>20</v>
      </c>
      <c r="N285" s="58" t="s">
        <v>19</v>
      </c>
      <c r="O285" s="58" t="s">
        <v>25</v>
      </c>
      <c r="P285" s="58" t="s">
        <v>23</v>
      </c>
      <c r="Q285" s="58" t="s">
        <v>46</v>
      </c>
      <c r="R285" s="159"/>
      <c r="S285" s="68" t="s">
        <v>0</v>
      </c>
      <c r="T285" s="1">
        <v>203.4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4">
        <f t="shared" si="79"/>
        <v>203.4</v>
      </c>
      <c r="AB285" s="63">
        <v>2018</v>
      </c>
      <c r="AC285" s="9"/>
      <c r="AD285" s="109"/>
      <c r="AE285" s="109"/>
    </row>
    <row r="286" spans="1:31" ht="15.6" hidden="1" customHeight="1" x14ac:dyDescent="0.25">
      <c r="A286" s="58" t="s">
        <v>19</v>
      </c>
      <c r="B286" s="58" t="s">
        <v>19</v>
      </c>
      <c r="C286" s="58" t="s">
        <v>25</v>
      </c>
      <c r="D286" s="58" t="s">
        <v>19</v>
      </c>
      <c r="E286" s="58" t="s">
        <v>22</v>
      </c>
      <c r="F286" s="58" t="s">
        <v>19</v>
      </c>
      <c r="G286" s="58" t="s">
        <v>23</v>
      </c>
      <c r="H286" s="58" t="s">
        <v>20</v>
      </c>
      <c r="I286" s="58" t="s">
        <v>25</v>
      </c>
      <c r="J286" s="58" t="s">
        <v>19</v>
      </c>
      <c r="K286" s="58" t="s">
        <v>19</v>
      </c>
      <c r="L286" s="58" t="s">
        <v>21</v>
      </c>
      <c r="M286" s="58" t="s">
        <v>38</v>
      </c>
      <c r="N286" s="58" t="s">
        <v>19</v>
      </c>
      <c r="O286" s="58" t="s">
        <v>25</v>
      </c>
      <c r="P286" s="58" t="s">
        <v>23</v>
      </c>
      <c r="Q286" s="58" t="s">
        <v>47</v>
      </c>
      <c r="R286" s="159"/>
      <c r="S286" s="68" t="s">
        <v>0</v>
      </c>
      <c r="T286" s="1">
        <v>50.9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64">
        <f t="shared" si="79"/>
        <v>50.9</v>
      </c>
      <c r="AB286" s="63">
        <v>2018</v>
      </c>
      <c r="AC286" s="9"/>
      <c r="AD286" s="109"/>
      <c r="AE286" s="109"/>
    </row>
    <row r="287" spans="1:31" ht="15.6" hidden="1" customHeight="1" x14ac:dyDescent="0.25">
      <c r="A287" s="58" t="s">
        <v>19</v>
      </c>
      <c r="B287" s="58" t="s">
        <v>19</v>
      </c>
      <c r="C287" s="58" t="s">
        <v>25</v>
      </c>
      <c r="D287" s="58" t="s">
        <v>19</v>
      </c>
      <c r="E287" s="58" t="s">
        <v>22</v>
      </c>
      <c r="F287" s="58" t="s">
        <v>19</v>
      </c>
      <c r="G287" s="58" t="s">
        <v>23</v>
      </c>
      <c r="H287" s="58" t="s">
        <v>20</v>
      </c>
      <c r="I287" s="58" t="s">
        <v>25</v>
      </c>
      <c r="J287" s="58" t="s">
        <v>19</v>
      </c>
      <c r="K287" s="58" t="s">
        <v>19</v>
      </c>
      <c r="L287" s="58" t="s">
        <v>21</v>
      </c>
      <c r="M287" s="58" t="s">
        <v>38</v>
      </c>
      <c r="N287" s="58" t="s">
        <v>19</v>
      </c>
      <c r="O287" s="58" t="s">
        <v>25</v>
      </c>
      <c r="P287" s="58" t="s">
        <v>23</v>
      </c>
      <c r="Q287" s="58" t="s">
        <v>40</v>
      </c>
      <c r="R287" s="160"/>
      <c r="S287" s="68" t="s">
        <v>0</v>
      </c>
      <c r="T287" s="1">
        <v>254.2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4">
        <f t="shared" si="79"/>
        <v>254.2</v>
      </c>
      <c r="AB287" s="63">
        <v>2018</v>
      </c>
      <c r="AC287" s="9"/>
      <c r="AD287" s="109"/>
      <c r="AE287" s="109"/>
    </row>
    <row r="288" spans="1:31" ht="31.15" hidden="1" customHeight="1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85" t="s">
        <v>221</v>
      </c>
      <c r="S288" s="91" t="s">
        <v>185</v>
      </c>
      <c r="T288" s="3">
        <v>88.3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6">
        <f t="shared" si="79"/>
        <v>88.3</v>
      </c>
      <c r="AB288" s="42">
        <v>2018</v>
      </c>
      <c r="AC288" s="9"/>
      <c r="AD288" s="109"/>
      <c r="AE288" s="109"/>
    </row>
    <row r="289" spans="1:31" ht="15.6" customHeight="1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158" t="s">
        <v>143</v>
      </c>
      <c r="S289" s="68" t="s">
        <v>0</v>
      </c>
      <c r="T289" s="64">
        <f>SUM(T290:T293)</f>
        <v>8990.0999999999985</v>
      </c>
      <c r="U289" s="64">
        <f>SUM(U290:U296)</f>
        <v>8673.7999999999993</v>
      </c>
      <c r="V289" s="64">
        <v>0</v>
      </c>
      <c r="W289" s="64">
        <v>0</v>
      </c>
      <c r="X289" s="64">
        <v>0</v>
      </c>
      <c r="Y289" s="64">
        <v>0</v>
      </c>
      <c r="Z289" s="64">
        <v>0</v>
      </c>
      <c r="AA289" s="64">
        <f t="shared" si="79"/>
        <v>17663.899999999998</v>
      </c>
      <c r="AB289" s="63">
        <v>2018</v>
      </c>
      <c r="AC289" s="133"/>
      <c r="AD289" s="109"/>
      <c r="AE289" s="109"/>
    </row>
    <row r="290" spans="1:31" x14ac:dyDescent="0.25">
      <c r="A290" s="58" t="s">
        <v>19</v>
      </c>
      <c r="B290" s="58" t="s">
        <v>19</v>
      </c>
      <c r="C290" s="58" t="s">
        <v>22</v>
      </c>
      <c r="D290" s="58" t="s">
        <v>19</v>
      </c>
      <c r="E290" s="58" t="s">
        <v>19</v>
      </c>
      <c r="F290" s="58" t="s">
        <v>19</v>
      </c>
      <c r="G290" s="58" t="s">
        <v>19</v>
      </c>
      <c r="H290" s="58" t="s">
        <v>20</v>
      </c>
      <c r="I290" s="58" t="s">
        <v>25</v>
      </c>
      <c r="J290" s="58" t="s">
        <v>19</v>
      </c>
      <c r="K290" s="58" t="s">
        <v>19</v>
      </c>
      <c r="L290" s="58" t="s">
        <v>21</v>
      </c>
      <c r="M290" s="58" t="s">
        <v>20</v>
      </c>
      <c r="N290" s="58" t="s">
        <v>19</v>
      </c>
      <c r="O290" s="58" t="s">
        <v>25</v>
      </c>
      <c r="P290" s="58" t="s">
        <v>23</v>
      </c>
      <c r="Q290" s="58" t="s">
        <v>46</v>
      </c>
      <c r="R290" s="159"/>
      <c r="S290" s="68" t="s">
        <v>0</v>
      </c>
      <c r="T290" s="1">
        <f>T300+T306+T313+T320+T327+T334+T341+T348+T355+T362+T368+T374</f>
        <v>3538.9999999999995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4">
        <f t="shared" si="79"/>
        <v>3538.9999999999995</v>
      </c>
      <c r="AB290" s="63">
        <v>2018</v>
      </c>
      <c r="AC290" s="133"/>
      <c r="AD290" s="109"/>
      <c r="AE290" s="109"/>
    </row>
    <row r="291" spans="1:31" x14ac:dyDescent="0.25">
      <c r="A291" s="58" t="s">
        <v>19</v>
      </c>
      <c r="B291" s="58" t="s">
        <v>19</v>
      </c>
      <c r="C291" s="58" t="s">
        <v>22</v>
      </c>
      <c r="D291" s="58" t="s">
        <v>19</v>
      </c>
      <c r="E291" s="58" t="s">
        <v>19</v>
      </c>
      <c r="F291" s="58" t="s">
        <v>19</v>
      </c>
      <c r="G291" s="58" t="s">
        <v>19</v>
      </c>
      <c r="H291" s="58" t="s">
        <v>20</v>
      </c>
      <c r="I291" s="58" t="s">
        <v>25</v>
      </c>
      <c r="J291" s="58" t="s">
        <v>19</v>
      </c>
      <c r="K291" s="58" t="s">
        <v>19</v>
      </c>
      <c r="L291" s="58" t="s">
        <v>21</v>
      </c>
      <c r="M291" s="58" t="s">
        <v>20</v>
      </c>
      <c r="N291" s="58" t="s">
        <v>19</v>
      </c>
      <c r="O291" s="58" t="s">
        <v>44</v>
      </c>
      <c r="P291" s="58" t="s">
        <v>23</v>
      </c>
      <c r="Q291" s="58" t="s">
        <v>187</v>
      </c>
      <c r="R291" s="159"/>
      <c r="S291" s="68" t="s">
        <v>0</v>
      </c>
      <c r="T291" s="1">
        <v>339.9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64">
        <f t="shared" si="79"/>
        <v>339.9</v>
      </c>
      <c r="AB291" s="63">
        <v>2018</v>
      </c>
      <c r="AC291" s="133"/>
      <c r="AD291" s="109"/>
      <c r="AE291" s="109"/>
    </row>
    <row r="292" spans="1:31" x14ac:dyDescent="0.25">
      <c r="A292" s="58" t="s">
        <v>19</v>
      </c>
      <c r="B292" s="58" t="s">
        <v>19</v>
      </c>
      <c r="C292" s="58" t="s">
        <v>22</v>
      </c>
      <c r="D292" s="58" t="s">
        <v>19</v>
      </c>
      <c r="E292" s="58" t="s">
        <v>19</v>
      </c>
      <c r="F292" s="58" t="s">
        <v>19</v>
      </c>
      <c r="G292" s="58" t="s">
        <v>19</v>
      </c>
      <c r="H292" s="58" t="s">
        <v>20</v>
      </c>
      <c r="I292" s="58" t="s">
        <v>25</v>
      </c>
      <c r="J292" s="58" t="s">
        <v>19</v>
      </c>
      <c r="K292" s="58" t="s">
        <v>19</v>
      </c>
      <c r="L292" s="58" t="s">
        <v>21</v>
      </c>
      <c r="M292" s="58" t="s">
        <v>38</v>
      </c>
      <c r="N292" s="58" t="s">
        <v>19</v>
      </c>
      <c r="O292" s="58" t="s">
        <v>25</v>
      </c>
      <c r="P292" s="58" t="s">
        <v>23</v>
      </c>
      <c r="Q292" s="58" t="s">
        <v>47</v>
      </c>
      <c r="R292" s="159"/>
      <c r="S292" s="68" t="s">
        <v>0</v>
      </c>
      <c r="T292" s="1">
        <f>T301+T302+T308+T309+T315+T316+T322+T323+T329+T330+T336+T337+T343+T344+T350+T351+T357+T358+T364+T370+T377+T376</f>
        <v>1913.5</v>
      </c>
      <c r="U292" s="1">
        <v>1308.8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64">
        <f t="shared" si="79"/>
        <v>3222.3</v>
      </c>
      <c r="AB292" s="63">
        <v>2018</v>
      </c>
      <c r="AC292" s="133"/>
      <c r="AD292" s="109"/>
      <c r="AE292" s="109"/>
    </row>
    <row r="293" spans="1:31" x14ac:dyDescent="0.25">
      <c r="A293" s="58" t="s">
        <v>19</v>
      </c>
      <c r="B293" s="58" t="s">
        <v>19</v>
      </c>
      <c r="C293" s="58" t="s">
        <v>22</v>
      </c>
      <c r="D293" s="58" t="s">
        <v>19</v>
      </c>
      <c r="E293" s="58" t="s">
        <v>19</v>
      </c>
      <c r="F293" s="58" t="s">
        <v>19</v>
      </c>
      <c r="G293" s="58" t="s">
        <v>19</v>
      </c>
      <c r="H293" s="58" t="s">
        <v>20</v>
      </c>
      <c r="I293" s="58" t="s">
        <v>25</v>
      </c>
      <c r="J293" s="58" t="s">
        <v>19</v>
      </c>
      <c r="K293" s="58" t="s">
        <v>19</v>
      </c>
      <c r="L293" s="58" t="s">
        <v>21</v>
      </c>
      <c r="M293" s="58" t="s">
        <v>38</v>
      </c>
      <c r="N293" s="58" t="s">
        <v>19</v>
      </c>
      <c r="O293" s="58" t="s">
        <v>25</v>
      </c>
      <c r="P293" s="58" t="s">
        <v>23</v>
      </c>
      <c r="Q293" s="58" t="s">
        <v>40</v>
      </c>
      <c r="R293" s="159"/>
      <c r="S293" s="68" t="s">
        <v>0</v>
      </c>
      <c r="T293" s="1">
        <v>3197.7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4">
        <f t="shared" si="79"/>
        <v>3197.7</v>
      </c>
      <c r="AB293" s="63">
        <v>2019</v>
      </c>
      <c r="AC293" s="133"/>
      <c r="AD293" s="109"/>
      <c r="AE293" s="109"/>
    </row>
    <row r="294" spans="1:31" x14ac:dyDescent="0.25">
      <c r="A294" s="58" t="s">
        <v>19</v>
      </c>
      <c r="B294" s="58" t="s">
        <v>19</v>
      </c>
      <c r="C294" s="58" t="s">
        <v>22</v>
      </c>
      <c r="D294" s="58" t="s">
        <v>19</v>
      </c>
      <c r="E294" s="58" t="s">
        <v>19</v>
      </c>
      <c r="F294" s="58" t="s">
        <v>19</v>
      </c>
      <c r="G294" s="58" t="s">
        <v>19</v>
      </c>
      <c r="H294" s="58" t="s">
        <v>20</v>
      </c>
      <c r="I294" s="58" t="s">
        <v>25</v>
      </c>
      <c r="J294" s="58" t="s">
        <v>19</v>
      </c>
      <c r="K294" s="58" t="s">
        <v>19</v>
      </c>
      <c r="L294" s="58" t="s">
        <v>21</v>
      </c>
      <c r="M294" s="58" t="s">
        <v>20</v>
      </c>
      <c r="N294" s="58" t="s">
        <v>19</v>
      </c>
      <c r="O294" s="58" t="s">
        <v>25</v>
      </c>
      <c r="P294" s="58" t="s">
        <v>23</v>
      </c>
      <c r="Q294" s="58" t="s">
        <v>19</v>
      </c>
      <c r="R294" s="159"/>
      <c r="S294" s="68" t="s">
        <v>0</v>
      </c>
      <c r="T294" s="1">
        <v>0</v>
      </c>
      <c r="U294" s="1">
        <v>4114.8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4">
        <f t="shared" si="79"/>
        <v>4114.8</v>
      </c>
      <c r="AB294" s="63">
        <v>2019</v>
      </c>
      <c r="AC294" s="133"/>
      <c r="AD294" s="109"/>
      <c r="AE294" s="109"/>
    </row>
    <row r="295" spans="1:31" x14ac:dyDescent="0.25">
      <c r="A295" s="58" t="s">
        <v>19</v>
      </c>
      <c r="B295" s="58" t="s">
        <v>19</v>
      </c>
      <c r="C295" s="58" t="s">
        <v>22</v>
      </c>
      <c r="D295" s="58" t="s">
        <v>19</v>
      </c>
      <c r="E295" s="58" t="s">
        <v>19</v>
      </c>
      <c r="F295" s="58" t="s">
        <v>19</v>
      </c>
      <c r="G295" s="58" t="s">
        <v>19</v>
      </c>
      <c r="H295" s="58" t="s">
        <v>20</v>
      </c>
      <c r="I295" s="58" t="s">
        <v>25</v>
      </c>
      <c r="J295" s="58" t="s">
        <v>19</v>
      </c>
      <c r="K295" s="58" t="s">
        <v>19</v>
      </c>
      <c r="L295" s="58" t="s">
        <v>21</v>
      </c>
      <c r="M295" s="58" t="s">
        <v>38</v>
      </c>
      <c r="N295" s="58" t="s">
        <v>19</v>
      </c>
      <c r="O295" s="58" t="s">
        <v>25</v>
      </c>
      <c r="P295" s="58" t="s">
        <v>23</v>
      </c>
      <c r="Q295" s="58" t="s">
        <v>19</v>
      </c>
      <c r="R295" s="159"/>
      <c r="S295" s="68" t="s">
        <v>0</v>
      </c>
      <c r="T295" s="1">
        <v>0</v>
      </c>
      <c r="U295" s="1">
        <v>3035.2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4">
        <f t="shared" ref="AA295" si="80">SUM(T295:Y295)</f>
        <v>3035.2</v>
      </c>
      <c r="AB295" s="63">
        <v>2019</v>
      </c>
      <c r="AC295" s="133"/>
      <c r="AD295" s="109"/>
      <c r="AE295" s="109"/>
    </row>
    <row r="296" spans="1:31" x14ac:dyDescent="0.25">
      <c r="A296" s="58" t="s">
        <v>19</v>
      </c>
      <c r="B296" s="58" t="s">
        <v>19</v>
      </c>
      <c r="C296" s="58" t="s">
        <v>22</v>
      </c>
      <c r="D296" s="58" t="s">
        <v>19</v>
      </c>
      <c r="E296" s="58" t="s">
        <v>19</v>
      </c>
      <c r="F296" s="58" t="s">
        <v>19</v>
      </c>
      <c r="G296" s="58" t="s">
        <v>19</v>
      </c>
      <c r="H296" s="58" t="s">
        <v>20</v>
      </c>
      <c r="I296" s="58" t="s">
        <v>25</v>
      </c>
      <c r="J296" s="58" t="s">
        <v>19</v>
      </c>
      <c r="K296" s="58" t="s">
        <v>19</v>
      </c>
      <c r="L296" s="58" t="s">
        <v>21</v>
      </c>
      <c r="M296" s="58" t="s">
        <v>20</v>
      </c>
      <c r="N296" s="58" t="s">
        <v>19</v>
      </c>
      <c r="O296" s="58" t="s">
        <v>44</v>
      </c>
      <c r="P296" s="58" t="s">
        <v>23</v>
      </c>
      <c r="Q296" s="58" t="s">
        <v>19</v>
      </c>
      <c r="R296" s="160"/>
      <c r="S296" s="68" t="s">
        <v>0</v>
      </c>
      <c r="T296" s="1">
        <v>0</v>
      </c>
      <c r="U296" s="1">
        <v>215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4">
        <f t="shared" ref="AA296" si="81">SUM(T296:Y296)</f>
        <v>215</v>
      </c>
      <c r="AB296" s="63">
        <v>2019</v>
      </c>
      <c r="AC296" s="133"/>
      <c r="AD296" s="109"/>
      <c r="AE296" s="109"/>
    </row>
    <row r="297" spans="1:31" ht="47.25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85" t="s">
        <v>337</v>
      </c>
      <c r="S297" s="67" t="s">
        <v>53</v>
      </c>
      <c r="T297" s="3">
        <v>2.7</v>
      </c>
      <c r="U297" s="3">
        <v>1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6">
        <f t="shared" si="79"/>
        <v>3.7</v>
      </c>
      <c r="AB297" s="42">
        <v>2019</v>
      </c>
      <c r="AC297" s="9"/>
      <c r="AD297" s="109"/>
      <c r="AE297" s="109"/>
    </row>
    <row r="298" spans="1:31" ht="47.25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85" t="s">
        <v>338</v>
      </c>
      <c r="S298" s="91" t="s">
        <v>51</v>
      </c>
      <c r="T298" s="45">
        <v>11</v>
      </c>
      <c r="U298" s="45">
        <v>7</v>
      </c>
      <c r="V298" s="45">
        <v>0</v>
      </c>
      <c r="W298" s="45">
        <v>0</v>
      </c>
      <c r="X298" s="45">
        <v>0</v>
      </c>
      <c r="Y298" s="45">
        <v>0</v>
      </c>
      <c r="Z298" s="45">
        <v>0</v>
      </c>
      <c r="AA298" s="53">
        <f t="shared" si="79"/>
        <v>18</v>
      </c>
      <c r="AB298" s="42">
        <v>2019</v>
      </c>
      <c r="AC298" s="9"/>
      <c r="AD298" s="109"/>
      <c r="AE298" s="109"/>
    </row>
    <row r="299" spans="1:31" ht="15.6" hidden="1" customHeight="1" x14ac:dyDescent="0.2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158" t="s">
        <v>222</v>
      </c>
      <c r="S299" s="68" t="s">
        <v>0</v>
      </c>
      <c r="T299" s="1">
        <f>SUM(T300:T303)</f>
        <v>1027.7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4">
        <f t="shared" si="76"/>
        <v>1027.7</v>
      </c>
      <c r="AB299" s="63">
        <v>2018</v>
      </c>
      <c r="AC299" s="9"/>
      <c r="AD299" s="109"/>
      <c r="AE299" s="109"/>
    </row>
    <row r="300" spans="1:31" ht="15.6" hidden="1" customHeight="1" x14ac:dyDescent="0.25">
      <c r="A300" s="58" t="s">
        <v>19</v>
      </c>
      <c r="B300" s="58" t="s">
        <v>19</v>
      </c>
      <c r="C300" s="58" t="s">
        <v>22</v>
      </c>
      <c r="D300" s="58" t="s">
        <v>19</v>
      </c>
      <c r="E300" s="58" t="s">
        <v>22</v>
      </c>
      <c r="F300" s="58" t="s">
        <v>19</v>
      </c>
      <c r="G300" s="58" t="s">
        <v>23</v>
      </c>
      <c r="H300" s="58" t="s">
        <v>20</v>
      </c>
      <c r="I300" s="58" t="s">
        <v>25</v>
      </c>
      <c r="J300" s="58" t="s">
        <v>19</v>
      </c>
      <c r="K300" s="58" t="s">
        <v>19</v>
      </c>
      <c r="L300" s="58" t="s">
        <v>21</v>
      </c>
      <c r="M300" s="58" t="s">
        <v>20</v>
      </c>
      <c r="N300" s="58" t="s">
        <v>19</v>
      </c>
      <c r="O300" s="58" t="s">
        <v>25</v>
      </c>
      <c r="P300" s="58" t="s">
        <v>23</v>
      </c>
      <c r="Q300" s="58" t="s">
        <v>46</v>
      </c>
      <c r="R300" s="159"/>
      <c r="S300" s="68" t="s">
        <v>0</v>
      </c>
      <c r="T300" s="1">
        <v>400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64">
        <f t="shared" si="76"/>
        <v>400</v>
      </c>
      <c r="AB300" s="63">
        <v>2018</v>
      </c>
      <c r="AC300" s="9"/>
      <c r="AD300" s="109"/>
      <c r="AE300" s="109"/>
    </row>
    <row r="301" spans="1:31" ht="15.6" hidden="1" customHeight="1" x14ac:dyDescent="0.25">
      <c r="A301" s="58" t="s">
        <v>19</v>
      </c>
      <c r="B301" s="58" t="s">
        <v>19</v>
      </c>
      <c r="C301" s="58" t="s">
        <v>22</v>
      </c>
      <c r="D301" s="58" t="s">
        <v>19</v>
      </c>
      <c r="E301" s="58" t="s">
        <v>22</v>
      </c>
      <c r="F301" s="58" t="s">
        <v>19</v>
      </c>
      <c r="G301" s="58" t="s">
        <v>23</v>
      </c>
      <c r="H301" s="58" t="s">
        <v>20</v>
      </c>
      <c r="I301" s="58" t="s">
        <v>25</v>
      </c>
      <c r="J301" s="58" t="s">
        <v>19</v>
      </c>
      <c r="K301" s="58" t="s">
        <v>19</v>
      </c>
      <c r="L301" s="58" t="s">
        <v>21</v>
      </c>
      <c r="M301" s="58" t="s">
        <v>38</v>
      </c>
      <c r="N301" s="58" t="s">
        <v>19</v>
      </c>
      <c r="O301" s="58" t="s">
        <v>25</v>
      </c>
      <c r="P301" s="58" t="s">
        <v>23</v>
      </c>
      <c r="Q301" s="58" t="s">
        <v>47</v>
      </c>
      <c r="R301" s="159"/>
      <c r="S301" s="68" t="s">
        <v>0</v>
      </c>
      <c r="T301" s="1">
        <v>14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64">
        <f t="shared" si="76"/>
        <v>14</v>
      </c>
      <c r="AB301" s="63">
        <v>2018</v>
      </c>
      <c r="AC301" s="9"/>
      <c r="AD301" s="109"/>
      <c r="AE301" s="109"/>
    </row>
    <row r="302" spans="1:31" ht="15.6" hidden="1" customHeight="1" x14ac:dyDescent="0.25">
      <c r="A302" s="58" t="s">
        <v>19</v>
      </c>
      <c r="B302" s="58" t="s">
        <v>19</v>
      </c>
      <c r="C302" s="58" t="s">
        <v>22</v>
      </c>
      <c r="D302" s="58" t="s">
        <v>19</v>
      </c>
      <c r="E302" s="58" t="s">
        <v>22</v>
      </c>
      <c r="F302" s="58" t="s">
        <v>19</v>
      </c>
      <c r="G302" s="58" t="s">
        <v>23</v>
      </c>
      <c r="H302" s="58" t="s">
        <v>20</v>
      </c>
      <c r="I302" s="58" t="s">
        <v>25</v>
      </c>
      <c r="J302" s="58" t="s">
        <v>19</v>
      </c>
      <c r="K302" s="58" t="s">
        <v>19</v>
      </c>
      <c r="L302" s="58" t="s">
        <v>21</v>
      </c>
      <c r="M302" s="58" t="s">
        <v>38</v>
      </c>
      <c r="N302" s="58" t="s">
        <v>19</v>
      </c>
      <c r="O302" s="58" t="s">
        <v>25</v>
      </c>
      <c r="P302" s="58" t="s">
        <v>23</v>
      </c>
      <c r="Q302" s="58" t="s">
        <v>47</v>
      </c>
      <c r="R302" s="159"/>
      <c r="S302" s="68" t="s">
        <v>0</v>
      </c>
      <c r="T302" s="1">
        <v>157.4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4">
        <f t="shared" si="76"/>
        <v>157.4</v>
      </c>
      <c r="AB302" s="63">
        <v>2018</v>
      </c>
      <c r="AC302" s="9"/>
      <c r="AD302" s="109"/>
      <c r="AE302" s="109"/>
    </row>
    <row r="303" spans="1:31" ht="15.6" hidden="1" customHeight="1" x14ac:dyDescent="0.25">
      <c r="A303" s="58" t="s">
        <v>19</v>
      </c>
      <c r="B303" s="58" t="s">
        <v>19</v>
      </c>
      <c r="C303" s="58" t="s">
        <v>22</v>
      </c>
      <c r="D303" s="58" t="s">
        <v>19</v>
      </c>
      <c r="E303" s="58" t="s">
        <v>22</v>
      </c>
      <c r="F303" s="58" t="s">
        <v>19</v>
      </c>
      <c r="G303" s="58" t="s">
        <v>23</v>
      </c>
      <c r="H303" s="58" t="s">
        <v>20</v>
      </c>
      <c r="I303" s="58" t="s">
        <v>25</v>
      </c>
      <c r="J303" s="58" t="s">
        <v>19</v>
      </c>
      <c r="K303" s="58" t="s">
        <v>19</v>
      </c>
      <c r="L303" s="58" t="s">
        <v>21</v>
      </c>
      <c r="M303" s="58" t="s">
        <v>38</v>
      </c>
      <c r="N303" s="58" t="s">
        <v>19</v>
      </c>
      <c r="O303" s="58" t="s">
        <v>25</v>
      </c>
      <c r="P303" s="58" t="s">
        <v>23</v>
      </c>
      <c r="Q303" s="58" t="s">
        <v>40</v>
      </c>
      <c r="R303" s="160"/>
      <c r="S303" s="68" t="s">
        <v>0</v>
      </c>
      <c r="T303" s="1">
        <v>456.3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4">
        <f t="shared" si="76"/>
        <v>456.3</v>
      </c>
      <c r="AB303" s="63">
        <v>2018</v>
      </c>
      <c r="AC303" s="9"/>
      <c r="AD303" s="109"/>
      <c r="AE303" s="109"/>
    </row>
    <row r="304" spans="1:31" ht="51" hidden="1" customHeight="1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85" t="s">
        <v>223</v>
      </c>
      <c r="S304" s="91" t="s">
        <v>184</v>
      </c>
      <c r="T304" s="3">
        <v>754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6">
        <f t="shared" si="76"/>
        <v>754</v>
      </c>
      <c r="AB304" s="42">
        <v>2018</v>
      </c>
      <c r="AC304" s="9"/>
      <c r="AD304" s="109"/>
      <c r="AE304" s="109"/>
    </row>
    <row r="305" spans="1:31" ht="16.149999999999999" hidden="1" customHeight="1" x14ac:dyDescent="0.2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158" t="s">
        <v>224</v>
      </c>
      <c r="S305" s="68" t="s">
        <v>0</v>
      </c>
      <c r="T305" s="1">
        <f>SUM(T306:T310)</f>
        <v>244.8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4">
        <f t="shared" si="76"/>
        <v>244.8</v>
      </c>
      <c r="AB305" s="63">
        <v>2018</v>
      </c>
      <c r="AC305" s="9"/>
      <c r="AD305" s="109"/>
      <c r="AE305" s="109"/>
    </row>
    <row r="306" spans="1:31" ht="16.149999999999999" hidden="1" customHeight="1" x14ac:dyDescent="0.25">
      <c r="A306" s="58" t="s">
        <v>19</v>
      </c>
      <c r="B306" s="58" t="s">
        <v>19</v>
      </c>
      <c r="C306" s="58" t="s">
        <v>22</v>
      </c>
      <c r="D306" s="58" t="s">
        <v>19</v>
      </c>
      <c r="E306" s="58" t="s">
        <v>22</v>
      </c>
      <c r="F306" s="58" t="s">
        <v>19</v>
      </c>
      <c r="G306" s="58" t="s">
        <v>23</v>
      </c>
      <c r="H306" s="58" t="s">
        <v>20</v>
      </c>
      <c r="I306" s="58" t="s">
        <v>25</v>
      </c>
      <c r="J306" s="58" t="s">
        <v>19</v>
      </c>
      <c r="K306" s="58" t="s">
        <v>19</v>
      </c>
      <c r="L306" s="58" t="s">
        <v>21</v>
      </c>
      <c r="M306" s="58" t="s">
        <v>20</v>
      </c>
      <c r="N306" s="58" t="s">
        <v>19</v>
      </c>
      <c r="O306" s="58" t="s">
        <v>25</v>
      </c>
      <c r="P306" s="58" t="s">
        <v>23</v>
      </c>
      <c r="Q306" s="58" t="s">
        <v>46</v>
      </c>
      <c r="R306" s="159"/>
      <c r="S306" s="68" t="s">
        <v>0</v>
      </c>
      <c r="T306" s="1">
        <v>97.9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4">
        <f t="shared" si="76"/>
        <v>97.9</v>
      </c>
      <c r="AB306" s="63">
        <v>2018</v>
      </c>
      <c r="AC306" s="9"/>
      <c r="AD306" s="109"/>
      <c r="AE306" s="109"/>
    </row>
    <row r="307" spans="1:31" ht="16.149999999999999" hidden="1" customHeight="1" x14ac:dyDescent="0.25">
      <c r="A307" s="58" t="s">
        <v>19</v>
      </c>
      <c r="B307" s="58" t="s">
        <v>19</v>
      </c>
      <c r="C307" s="58" t="s">
        <v>22</v>
      </c>
      <c r="D307" s="58" t="s">
        <v>19</v>
      </c>
      <c r="E307" s="58" t="s">
        <v>22</v>
      </c>
      <c r="F307" s="58" t="s">
        <v>19</v>
      </c>
      <c r="G307" s="58" t="s">
        <v>23</v>
      </c>
      <c r="H307" s="58" t="s">
        <v>20</v>
      </c>
      <c r="I307" s="58" t="s">
        <v>25</v>
      </c>
      <c r="J307" s="58" t="s">
        <v>19</v>
      </c>
      <c r="K307" s="58" t="s">
        <v>19</v>
      </c>
      <c r="L307" s="58" t="s">
        <v>21</v>
      </c>
      <c r="M307" s="58" t="s">
        <v>20</v>
      </c>
      <c r="N307" s="58" t="s">
        <v>19</v>
      </c>
      <c r="O307" s="58" t="s">
        <v>44</v>
      </c>
      <c r="P307" s="58" t="s">
        <v>23</v>
      </c>
      <c r="Q307" s="58" t="s">
        <v>187</v>
      </c>
      <c r="R307" s="159"/>
      <c r="S307" s="68" t="s">
        <v>0</v>
      </c>
      <c r="T307" s="1">
        <v>15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64">
        <f t="shared" si="76"/>
        <v>15</v>
      </c>
      <c r="AB307" s="63">
        <v>2018</v>
      </c>
      <c r="AC307" s="9"/>
      <c r="AD307" s="109"/>
      <c r="AE307" s="109"/>
    </row>
    <row r="308" spans="1:31" ht="16.149999999999999" hidden="1" customHeight="1" x14ac:dyDescent="0.25">
      <c r="A308" s="58" t="s">
        <v>19</v>
      </c>
      <c r="B308" s="58" t="s">
        <v>19</v>
      </c>
      <c r="C308" s="58" t="s">
        <v>22</v>
      </c>
      <c r="D308" s="58" t="s">
        <v>19</v>
      </c>
      <c r="E308" s="58" t="s">
        <v>22</v>
      </c>
      <c r="F308" s="58" t="s">
        <v>19</v>
      </c>
      <c r="G308" s="58" t="s">
        <v>23</v>
      </c>
      <c r="H308" s="58" t="s">
        <v>20</v>
      </c>
      <c r="I308" s="58" t="s">
        <v>25</v>
      </c>
      <c r="J308" s="58" t="s">
        <v>19</v>
      </c>
      <c r="K308" s="58" t="s">
        <v>19</v>
      </c>
      <c r="L308" s="58" t="s">
        <v>21</v>
      </c>
      <c r="M308" s="58" t="s">
        <v>38</v>
      </c>
      <c r="N308" s="58" t="s">
        <v>19</v>
      </c>
      <c r="O308" s="58" t="s">
        <v>25</v>
      </c>
      <c r="P308" s="58" t="s">
        <v>23</v>
      </c>
      <c r="Q308" s="58" t="s">
        <v>47</v>
      </c>
      <c r="R308" s="159"/>
      <c r="S308" s="68" t="s">
        <v>0</v>
      </c>
      <c r="T308" s="1">
        <v>4.9000000000000004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4">
        <f t="shared" si="76"/>
        <v>4.9000000000000004</v>
      </c>
      <c r="AB308" s="63">
        <v>2018</v>
      </c>
      <c r="AC308" s="9"/>
      <c r="AD308" s="109"/>
      <c r="AE308" s="109"/>
    </row>
    <row r="309" spans="1:31" ht="16.149999999999999" hidden="1" customHeight="1" x14ac:dyDescent="0.25">
      <c r="A309" s="58" t="s">
        <v>19</v>
      </c>
      <c r="B309" s="58" t="s">
        <v>19</v>
      </c>
      <c r="C309" s="58" t="s">
        <v>22</v>
      </c>
      <c r="D309" s="58" t="s">
        <v>19</v>
      </c>
      <c r="E309" s="58" t="s">
        <v>22</v>
      </c>
      <c r="F309" s="58" t="s">
        <v>19</v>
      </c>
      <c r="G309" s="58" t="s">
        <v>23</v>
      </c>
      <c r="H309" s="58" t="s">
        <v>20</v>
      </c>
      <c r="I309" s="58" t="s">
        <v>25</v>
      </c>
      <c r="J309" s="58" t="s">
        <v>19</v>
      </c>
      <c r="K309" s="58" t="s">
        <v>19</v>
      </c>
      <c r="L309" s="58" t="s">
        <v>21</v>
      </c>
      <c r="M309" s="58" t="s">
        <v>38</v>
      </c>
      <c r="N309" s="58" t="s">
        <v>19</v>
      </c>
      <c r="O309" s="58" t="s">
        <v>25</v>
      </c>
      <c r="P309" s="58" t="s">
        <v>23</v>
      </c>
      <c r="Q309" s="58" t="s">
        <v>47</v>
      </c>
      <c r="R309" s="159"/>
      <c r="S309" s="68" t="s">
        <v>0</v>
      </c>
      <c r="T309" s="1">
        <v>36.700000000000003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4">
        <f t="shared" si="76"/>
        <v>36.700000000000003</v>
      </c>
      <c r="AB309" s="63">
        <v>2018</v>
      </c>
      <c r="AC309" s="9"/>
      <c r="AD309" s="109"/>
      <c r="AE309" s="109"/>
    </row>
    <row r="310" spans="1:31" ht="16.149999999999999" hidden="1" customHeight="1" x14ac:dyDescent="0.25">
      <c r="A310" s="58" t="s">
        <v>19</v>
      </c>
      <c r="B310" s="58" t="s">
        <v>19</v>
      </c>
      <c r="C310" s="58" t="s">
        <v>22</v>
      </c>
      <c r="D310" s="58" t="s">
        <v>19</v>
      </c>
      <c r="E310" s="58" t="s">
        <v>22</v>
      </c>
      <c r="F310" s="58" t="s">
        <v>19</v>
      </c>
      <c r="G310" s="58" t="s">
        <v>23</v>
      </c>
      <c r="H310" s="58" t="s">
        <v>20</v>
      </c>
      <c r="I310" s="58" t="s">
        <v>25</v>
      </c>
      <c r="J310" s="58" t="s">
        <v>19</v>
      </c>
      <c r="K310" s="58" t="s">
        <v>19</v>
      </c>
      <c r="L310" s="58" t="s">
        <v>21</v>
      </c>
      <c r="M310" s="58" t="s">
        <v>38</v>
      </c>
      <c r="N310" s="58" t="s">
        <v>19</v>
      </c>
      <c r="O310" s="58" t="s">
        <v>25</v>
      </c>
      <c r="P310" s="58" t="s">
        <v>23</v>
      </c>
      <c r="Q310" s="58" t="s">
        <v>40</v>
      </c>
      <c r="R310" s="160"/>
      <c r="S310" s="68" t="s">
        <v>0</v>
      </c>
      <c r="T310" s="1">
        <v>90.3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4">
        <f t="shared" si="76"/>
        <v>90.3</v>
      </c>
      <c r="AB310" s="63">
        <v>2018</v>
      </c>
      <c r="AC310" s="9"/>
      <c r="AD310" s="109"/>
      <c r="AE310" s="109"/>
    </row>
    <row r="311" spans="1:31" ht="52.15" hidden="1" customHeight="1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85" t="s">
        <v>225</v>
      </c>
      <c r="S311" s="91" t="s">
        <v>51</v>
      </c>
      <c r="T311" s="45">
        <v>10</v>
      </c>
      <c r="U311" s="45">
        <v>0</v>
      </c>
      <c r="V311" s="45">
        <v>0</v>
      </c>
      <c r="W311" s="45">
        <v>0</v>
      </c>
      <c r="X311" s="45">
        <v>0</v>
      </c>
      <c r="Y311" s="45">
        <v>0</v>
      </c>
      <c r="Z311" s="45">
        <v>0</v>
      </c>
      <c r="AA311" s="53">
        <f t="shared" si="76"/>
        <v>10</v>
      </c>
      <c r="AB311" s="42">
        <v>2018</v>
      </c>
      <c r="AC311" s="9"/>
      <c r="AD311" s="109"/>
      <c r="AE311" s="109"/>
    </row>
    <row r="312" spans="1:31" ht="16.350000000000001" hidden="1" customHeight="1" x14ac:dyDescent="0.2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158" t="s">
        <v>226</v>
      </c>
      <c r="S312" s="68" t="s">
        <v>0</v>
      </c>
      <c r="T312" s="1">
        <f>SUM(T313:T317)</f>
        <v>686.4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4">
        <f t="shared" ref="AA312:AA379" si="82">SUM(T312:Y312)</f>
        <v>686.4</v>
      </c>
      <c r="AB312" s="63">
        <v>2018</v>
      </c>
      <c r="AC312" s="9"/>
      <c r="AD312" s="109"/>
      <c r="AE312" s="109"/>
    </row>
    <row r="313" spans="1:31" ht="16.350000000000001" hidden="1" customHeight="1" x14ac:dyDescent="0.25">
      <c r="A313" s="58" t="s">
        <v>19</v>
      </c>
      <c r="B313" s="58" t="s">
        <v>19</v>
      </c>
      <c r="C313" s="58" t="s">
        <v>22</v>
      </c>
      <c r="D313" s="58" t="s">
        <v>19</v>
      </c>
      <c r="E313" s="58" t="s">
        <v>25</v>
      </c>
      <c r="F313" s="58" t="s">
        <v>19</v>
      </c>
      <c r="G313" s="58" t="s">
        <v>44</v>
      </c>
      <c r="H313" s="58" t="s">
        <v>20</v>
      </c>
      <c r="I313" s="58" t="s">
        <v>25</v>
      </c>
      <c r="J313" s="58" t="s">
        <v>19</v>
      </c>
      <c r="K313" s="58" t="s">
        <v>19</v>
      </c>
      <c r="L313" s="58" t="s">
        <v>21</v>
      </c>
      <c r="M313" s="58" t="s">
        <v>20</v>
      </c>
      <c r="N313" s="58" t="s">
        <v>19</v>
      </c>
      <c r="O313" s="58" t="s">
        <v>25</v>
      </c>
      <c r="P313" s="58" t="s">
        <v>23</v>
      </c>
      <c r="Q313" s="58" t="s">
        <v>46</v>
      </c>
      <c r="R313" s="159"/>
      <c r="S313" s="68" t="s">
        <v>0</v>
      </c>
      <c r="T313" s="1">
        <v>272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4">
        <f t="shared" si="82"/>
        <v>272</v>
      </c>
      <c r="AB313" s="63">
        <v>2018</v>
      </c>
      <c r="AC313" s="9"/>
      <c r="AD313" s="109"/>
      <c r="AE313" s="109"/>
    </row>
    <row r="314" spans="1:31" ht="16.350000000000001" hidden="1" customHeight="1" x14ac:dyDescent="0.25">
      <c r="A314" s="58" t="s">
        <v>19</v>
      </c>
      <c r="B314" s="58" t="s">
        <v>19</v>
      </c>
      <c r="C314" s="58" t="s">
        <v>22</v>
      </c>
      <c r="D314" s="58" t="s">
        <v>19</v>
      </c>
      <c r="E314" s="58" t="s">
        <v>25</v>
      </c>
      <c r="F314" s="58" t="s">
        <v>19</v>
      </c>
      <c r="G314" s="58" t="s">
        <v>44</v>
      </c>
      <c r="H314" s="58" t="s">
        <v>20</v>
      </c>
      <c r="I314" s="58" t="s">
        <v>25</v>
      </c>
      <c r="J314" s="58" t="s">
        <v>19</v>
      </c>
      <c r="K314" s="58" t="s">
        <v>19</v>
      </c>
      <c r="L314" s="58" t="s">
        <v>21</v>
      </c>
      <c r="M314" s="58" t="s">
        <v>20</v>
      </c>
      <c r="N314" s="58" t="s">
        <v>19</v>
      </c>
      <c r="O314" s="58" t="s">
        <v>44</v>
      </c>
      <c r="P314" s="58" t="s">
        <v>23</v>
      </c>
      <c r="Q314" s="58" t="s">
        <v>187</v>
      </c>
      <c r="R314" s="159"/>
      <c r="S314" s="68" t="s">
        <v>0</v>
      </c>
      <c r="T314" s="1">
        <v>30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64">
        <f t="shared" si="82"/>
        <v>30</v>
      </c>
      <c r="AB314" s="63">
        <v>2018</v>
      </c>
      <c r="AC314" s="9"/>
      <c r="AD314" s="109"/>
      <c r="AE314" s="109"/>
    </row>
    <row r="315" spans="1:31" ht="16.350000000000001" hidden="1" customHeight="1" x14ac:dyDescent="0.25">
      <c r="A315" s="58" t="s">
        <v>19</v>
      </c>
      <c r="B315" s="58" t="s">
        <v>19</v>
      </c>
      <c r="C315" s="58" t="s">
        <v>22</v>
      </c>
      <c r="D315" s="58" t="s">
        <v>19</v>
      </c>
      <c r="E315" s="58" t="s">
        <v>25</v>
      </c>
      <c r="F315" s="58" t="s">
        <v>19</v>
      </c>
      <c r="G315" s="58" t="s">
        <v>44</v>
      </c>
      <c r="H315" s="58" t="s">
        <v>20</v>
      </c>
      <c r="I315" s="58" t="s">
        <v>25</v>
      </c>
      <c r="J315" s="58" t="s">
        <v>19</v>
      </c>
      <c r="K315" s="58" t="s">
        <v>19</v>
      </c>
      <c r="L315" s="58" t="s">
        <v>21</v>
      </c>
      <c r="M315" s="58" t="s">
        <v>38</v>
      </c>
      <c r="N315" s="58" t="s">
        <v>19</v>
      </c>
      <c r="O315" s="58" t="s">
        <v>25</v>
      </c>
      <c r="P315" s="58" t="s">
        <v>23</v>
      </c>
      <c r="Q315" s="58" t="s">
        <v>47</v>
      </c>
      <c r="R315" s="159"/>
      <c r="S315" s="68" t="s">
        <v>0</v>
      </c>
      <c r="T315" s="1">
        <v>47.3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4">
        <f t="shared" si="82"/>
        <v>47.3</v>
      </c>
      <c r="AB315" s="63">
        <v>2018</v>
      </c>
      <c r="AC315" s="9"/>
      <c r="AD315" s="109"/>
      <c r="AE315" s="109"/>
    </row>
    <row r="316" spans="1:31" ht="16.350000000000001" hidden="1" customHeight="1" x14ac:dyDescent="0.25">
      <c r="A316" s="58" t="s">
        <v>19</v>
      </c>
      <c r="B316" s="58" t="s">
        <v>19</v>
      </c>
      <c r="C316" s="58" t="s">
        <v>22</v>
      </c>
      <c r="D316" s="58" t="s">
        <v>19</v>
      </c>
      <c r="E316" s="58" t="s">
        <v>25</v>
      </c>
      <c r="F316" s="58" t="s">
        <v>19</v>
      </c>
      <c r="G316" s="58" t="s">
        <v>44</v>
      </c>
      <c r="H316" s="58" t="s">
        <v>20</v>
      </c>
      <c r="I316" s="58" t="s">
        <v>25</v>
      </c>
      <c r="J316" s="58" t="s">
        <v>19</v>
      </c>
      <c r="K316" s="58" t="s">
        <v>19</v>
      </c>
      <c r="L316" s="58" t="s">
        <v>21</v>
      </c>
      <c r="M316" s="58" t="s">
        <v>38</v>
      </c>
      <c r="N316" s="58" t="s">
        <v>19</v>
      </c>
      <c r="O316" s="58" t="s">
        <v>25</v>
      </c>
      <c r="P316" s="58" t="s">
        <v>23</v>
      </c>
      <c r="Q316" s="58" t="s">
        <v>47</v>
      </c>
      <c r="R316" s="159"/>
      <c r="S316" s="68" t="s">
        <v>0</v>
      </c>
      <c r="T316" s="1">
        <v>68.599999999999994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4">
        <f t="shared" si="82"/>
        <v>68.599999999999994</v>
      </c>
      <c r="AB316" s="63">
        <v>2018</v>
      </c>
      <c r="AC316" s="9"/>
      <c r="AD316" s="109"/>
      <c r="AE316" s="109"/>
    </row>
    <row r="317" spans="1:31" ht="16.350000000000001" hidden="1" customHeight="1" x14ac:dyDescent="0.25">
      <c r="A317" s="58" t="s">
        <v>19</v>
      </c>
      <c r="B317" s="58" t="s">
        <v>19</v>
      </c>
      <c r="C317" s="58" t="s">
        <v>22</v>
      </c>
      <c r="D317" s="58" t="s">
        <v>19</v>
      </c>
      <c r="E317" s="58" t="s">
        <v>25</v>
      </c>
      <c r="F317" s="58" t="s">
        <v>19</v>
      </c>
      <c r="G317" s="58" t="s">
        <v>44</v>
      </c>
      <c r="H317" s="58" t="s">
        <v>20</v>
      </c>
      <c r="I317" s="58" t="s">
        <v>25</v>
      </c>
      <c r="J317" s="58" t="s">
        <v>19</v>
      </c>
      <c r="K317" s="58" t="s">
        <v>19</v>
      </c>
      <c r="L317" s="58" t="s">
        <v>21</v>
      </c>
      <c r="M317" s="58" t="s">
        <v>38</v>
      </c>
      <c r="N317" s="58" t="s">
        <v>19</v>
      </c>
      <c r="O317" s="58" t="s">
        <v>25</v>
      </c>
      <c r="P317" s="58" t="s">
        <v>23</v>
      </c>
      <c r="Q317" s="58" t="s">
        <v>40</v>
      </c>
      <c r="R317" s="160"/>
      <c r="S317" s="68" t="s">
        <v>0</v>
      </c>
      <c r="T317" s="1">
        <v>268.5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4">
        <f t="shared" si="82"/>
        <v>268.5</v>
      </c>
      <c r="AB317" s="63">
        <v>2018</v>
      </c>
      <c r="AC317" s="9"/>
      <c r="AD317" s="109"/>
      <c r="AE317" s="109"/>
    </row>
    <row r="318" spans="1:31" ht="53.45" hidden="1" customHeight="1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83" t="s">
        <v>227</v>
      </c>
      <c r="S318" s="91" t="s">
        <v>184</v>
      </c>
      <c r="T318" s="3">
        <v>285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6">
        <f t="shared" si="82"/>
        <v>285</v>
      </c>
      <c r="AB318" s="42">
        <v>2018</v>
      </c>
      <c r="AC318" s="9"/>
      <c r="AD318" s="109"/>
      <c r="AE318" s="109"/>
    </row>
    <row r="319" spans="1:31" ht="16.350000000000001" hidden="1" customHeight="1" x14ac:dyDescent="0.2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158" t="s">
        <v>228</v>
      </c>
      <c r="S319" s="68" t="s">
        <v>0</v>
      </c>
      <c r="T319" s="1">
        <f>SUM(T320:T324)</f>
        <v>657.90000000000009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4">
        <f t="shared" si="82"/>
        <v>657.90000000000009</v>
      </c>
      <c r="AB319" s="63">
        <v>2018</v>
      </c>
      <c r="AC319" s="9"/>
      <c r="AD319" s="109"/>
      <c r="AE319" s="109"/>
    </row>
    <row r="320" spans="1:31" ht="16.350000000000001" hidden="1" customHeight="1" x14ac:dyDescent="0.25">
      <c r="A320" s="58" t="s">
        <v>19</v>
      </c>
      <c r="B320" s="58" t="s">
        <v>19</v>
      </c>
      <c r="C320" s="58" t="s">
        <v>22</v>
      </c>
      <c r="D320" s="58" t="s">
        <v>19</v>
      </c>
      <c r="E320" s="58" t="s">
        <v>22</v>
      </c>
      <c r="F320" s="58" t="s">
        <v>19</v>
      </c>
      <c r="G320" s="58" t="s">
        <v>23</v>
      </c>
      <c r="H320" s="58" t="s">
        <v>20</v>
      </c>
      <c r="I320" s="58" t="s">
        <v>25</v>
      </c>
      <c r="J320" s="58" t="s">
        <v>19</v>
      </c>
      <c r="K320" s="58" t="s">
        <v>19</v>
      </c>
      <c r="L320" s="58" t="s">
        <v>21</v>
      </c>
      <c r="M320" s="58" t="s">
        <v>20</v>
      </c>
      <c r="N320" s="58" t="s">
        <v>19</v>
      </c>
      <c r="O320" s="58" t="s">
        <v>25</v>
      </c>
      <c r="P320" s="58" t="s">
        <v>23</v>
      </c>
      <c r="Q320" s="58" t="s">
        <v>46</v>
      </c>
      <c r="R320" s="159"/>
      <c r="S320" s="68" t="s">
        <v>0</v>
      </c>
      <c r="T320" s="1">
        <v>263.10000000000002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4">
        <f t="shared" si="82"/>
        <v>263.10000000000002</v>
      </c>
      <c r="AB320" s="63">
        <v>2018</v>
      </c>
      <c r="AC320" s="9"/>
      <c r="AD320" s="109"/>
      <c r="AE320" s="109"/>
    </row>
    <row r="321" spans="1:31" ht="16.350000000000001" hidden="1" customHeight="1" x14ac:dyDescent="0.25">
      <c r="A321" s="58" t="s">
        <v>19</v>
      </c>
      <c r="B321" s="58" t="s">
        <v>19</v>
      </c>
      <c r="C321" s="58" t="s">
        <v>22</v>
      </c>
      <c r="D321" s="58" t="s">
        <v>19</v>
      </c>
      <c r="E321" s="58" t="s">
        <v>22</v>
      </c>
      <c r="F321" s="58" t="s">
        <v>19</v>
      </c>
      <c r="G321" s="58" t="s">
        <v>23</v>
      </c>
      <c r="H321" s="58" t="s">
        <v>20</v>
      </c>
      <c r="I321" s="58" t="s">
        <v>25</v>
      </c>
      <c r="J321" s="58" t="s">
        <v>19</v>
      </c>
      <c r="K321" s="58" t="s">
        <v>19</v>
      </c>
      <c r="L321" s="58" t="s">
        <v>21</v>
      </c>
      <c r="M321" s="58" t="s">
        <v>20</v>
      </c>
      <c r="N321" s="58" t="s">
        <v>19</v>
      </c>
      <c r="O321" s="58" t="s">
        <v>44</v>
      </c>
      <c r="P321" s="58" t="s">
        <v>23</v>
      </c>
      <c r="Q321" s="58" t="s">
        <v>187</v>
      </c>
      <c r="R321" s="159"/>
      <c r="S321" s="68" t="s">
        <v>0</v>
      </c>
      <c r="T321" s="1">
        <v>40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64">
        <f>SUM(T321:Y321)</f>
        <v>40</v>
      </c>
      <c r="AB321" s="63">
        <v>2018</v>
      </c>
      <c r="AC321" s="9"/>
      <c r="AD321" s="109"/>
      <c r="AE321" s="109"/>
    </row>
    <row r="322" spans="1:31" ht="16.350000000000001" hidden="1" customHeight="1" x14ac:dyDescent="0.25">
      <c r="A322" s="58" t="s">
        <v>19</v>
      </c>
      <c r="B322" s="58" t="s">
        <v>19</v>
      </c>
      <c r="C322" s="58" t="s">
        <v>22</v>
      </c>
      <c r="D322" s="58" t="s">
        <v>19</v>
      </c>
      <c r="E322" s="58" t="s">
        <v>22</v>
      </c>
      <c r="F322" s="58" t="s">
        <v>19</v>
      </c>
      <c r="G322" s="58" t="s">
        <v>23</v>
      </c>
      <c r="H322" s="58" t="s">
        <v>20</v>
      </c>
      <c r="I322" s="58" t="s">
        <v>25</v>
      </c>
      <c r="J322" s="58" t="s">
        <v>19</v>
      </c>
      <c r="K322" s="58" t="s">
        <v>19</v>
      </c>
      <c r="L322" s="58" t="s">
        <v>21</v>
      </c>
      <c r="M322" s="58" t="s">
        <v>38</v>
      </c>
      <c r="N322" s="58" t="s">
        <v>19</v>
      </c>
      <c r="O322" s="58" t="s">
        <v>25</v>
      </c>
      <c r="P322" s="58" t="s">
        <v>23</v>
      </c>
      <c r="Q322" s="58" t="s">
        <v>47</v>
      </c>
      <c r="R322" s="159"/>
      <c r="S322" s="68" t="s">
        <v>0</v>
      </c>
      <c r="T322" s="1">
        <v>5.7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4">
        <f t="shared" si="82"/>
        <v>5.7</v>
      </c>
      <c r="AB322" s="63">
        <v>2018</v>
      </c>
      <c r="AC322" s="9"/>
      <c r="AD322" s="109"/>
      <c r="AE322" s="109"/>
    </row>
    <row r="323" spans="1:31" ht="16.350000000000001" hidden="1" customHeight="1" x14ac:dyDescent="0.25">
      <c r="A323" s="58" t="s">
        <v>19</v>
      </c>
      <c r="B323" s="58" t="s">
        <v>19</v>
      </c>
      <c r="C323" s="58" t="s">
        <v>22</v>
      </c>
      <c r="D323" s="58" t="s">
        <v>19</v>
      </c>
      <c r="E323" s="58" t="s">
        <v>22</v>
      </c>
      <c r="F323" s="58" t="s">
        <v>19</v>
      </c>
      <c r="G323" s="58" t="s">
        <v>23</v>
      </c>
      <c r="H323" s="58" t="s">
        <v>20</v>
      </c>
      <c r="I323" s="58" t="s">
        <v>25</v>
      </c>
      <c r="J323" s="58" t="s">
        <v>19</v>
      </c>
      <c r="K323" s="58" t="s">
        <v>19</v>
      </c>
      <c r="L323" s="58" t="s">
        <v>21</v>
      </c>
      <c r="M323" s="58" t="s">
        <v>38</v>
      </c>
      <c r="N323" s="58" t="s">
        <v>19</v>
      </c>
      <c r="O323" s="58" t="s">
        <v>25</v>
      </c>
      <c r="P323" s="58" t="s">
        <v>23</v>
      </c>
      <c r="Q323" s="58" t="s">
        <v>47</v>
      </c>
      <c r="R323" s="159"/>
      <c r="S323" s="68" t="s">
        <v>0</v>
      </c>
      <c r="T323" s="1">
        <v>98.8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4">
        <f t="shared" si="82"/>
        <v>98.8</v>
      </c>
      <c r="AB323" s="63">
        <v>2018</v>
      </c>
      <c r="AC323" s="9"/>
      <c r="AD323" s="109"/>
      <c r="AE323" s="109"/>
    </row>
    <row r="324" spans="1:31" ht="16.350000000000001" hidden="1" customHeight="1" x14ac:dyDescent="0.25">
      <c r="A324" s="58" t="s">
        <v>19</v>
      </c>
      <c r="B324" s="58" t="s">
        <v>19</v>
      </c>
      <c r="C324" s="58" t="s">
        <v>22</v>
      </c>
      <c r="D324" s="58" t="s">
        <v>19</v>
      </c>
      <c r="E324" s="58" t="s">
        <v>22</v>
      </c>
      <c r="F324" s="58" t="s">
        <v>19</v>
      </c>
      <c r="G324" s="58" t="s">
        <v>23</v>
      </c>
      <c r="H324" s="58" t="s">
        <v>20</v>
      </c>
      <c r="I324" s="58" t="s">
        <v>25</v>
      </c>
      <c r="J324" s="58" t="s">
        <v>19</v>
      </c>
      <c r="K324" s="58" t="s">
        <v>19</v>
      </c>
      <c r="L324" s="58" t="s">
        <v>21</v>
      </c>
      <c r="M324" s="58" t="s">
        <v>38</v>
      </c>
      <c r="N324" s="58" t="s">
        <v>19</v>
      </c>
      <c r="O324" s="58" t="s">
        <v>25</v>
      </c>
      <c r="P324" s="58" t="s">
        <v>23</v>
      </c>
      <c r="Q324" s="58" t="s">
        <v>40</v>
      </c>
      <c r="R324" s="160"/>
      <c r="S324" s="68" t="s">
        <v>0</v>
      </c>
      <c r="T324" s="1">
        <v>250.3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4">
        <f t="shared" si="82"/>
        <v>250.3</v>
      </c>
      <c r="AB324" s="63">
        <v>2018</v>
      </c>
      <c r="AC324" s="9"/>
      <c r="AD324" s="109"/>
      <c r="AE324" s="109"/>
    </row>
    <row r="325" spans="1:31" ht="37.15" hidden="1" customHeight="1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85" t="s">
        <v>229</v>
      </c>
      <c r="S325" s="91" t="s">
        <v>184</v>
      </c>
      <c r="T325" s="3">
        <v>443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6">
        <f t="shared" si="82"/>
        <v>443</v>
      </c>
      <c r="AB325" s="42">
        <v>2018</v>
      </c>
      <c r="AC325" s="9"/>
      <c r="AD325" s="109"/>
      <c r="AE325" s="109"/>
    </row>
    <row r="326" spans="1:31" ht="18.600000000000001" hidden="1" customHeight="1" x14ac:dyDescent="0.2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158" t="s">
        <v>230</v>
      </c>
      <c r="S326" s="68" t="s">
        <v>0</v>
      </c>
      <c r="T326" s="1">
        <f>SUM(T327:T331)</f>
        <v>1100.4000000000001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4">
        <f t="shared" si="82"/>
        <v>1100.4000000000001</v>
      </c>
      <c r="AB326" s="63">
        <v>2018</v>
      </c>
      <c r="AC326" s="9"/>
      <c r="AD326" s="109"/>
      <c r="AE326" s="109"/>
    </row>
    <row r="327" spans="1:31" ht="16.350000000000001" hidden="1" customHeight="1" x14ac:dyDescent="0.25">
      <c r="A327" s="58" t="s">
        <v>19</v>
      </c>
      <c r="B327" s="58" t="s">
        <v>19</v>
      </c>
      <c r="C327" s="58" t="s">
        <v>22</v>
      </c>
      <c r="D327" s="58" t="s">
        <v>19</v>
      </c>
      <c r="E327" s="58" t="s">
        <v>22</v>
      </c>
      <c r="F327" s="58" t="s">
        <v>19</v>
      </c>
      <c r="G327" s="58" t="s">
        <v>23</v>
      </c>
      <c r="H327" s="58" t="s">
        <v>20</v>
      </c>
      <c r="I327" s="58" t="s">
        <v>25</v>
      </c>
      <c r="J327" s="58" t="s">
        <v>19</v>
      </c>
      <c r="K327" s="58" t="s">
        <v>19</v>
      </c>
      <c r="L327" s="58" t="s">
        <v>21</v>
      </c>
      <c r="M327" s="58" t="s">
        <v>20</v>
      </c>
      <c r="N327" s="58" t="s">
        <v>19</v>
      </c>
      <c r="O327" s="58" t="s">
        <v>25</v>
      </c>
      <c r="P327" s="58" t="s">
        <v>23</v>
      </c>
      <c r="Q327" s="58" t="s">
        <v>46</v>
      </c>
      <c r="R327" s="159"/>
      <c r="S327" s="68" t="s">
        <v>0</v>
      </c>
      <c r="T327" s="1">
        <v>400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4">
        <f t="shared" si="82"/>
        <v>400</v>
      </c>
      <c r="AB327" s="63">
        <v>2018</v>
      </c>
      <c r="AC327" s="9"/>
      <c r="AD327" s="109"/>
      <c r="AE327" s="109"/>
    </row>
    <row r="328" spans="1:31" ht="16.350000000000001" hidden="1" customHeight="1" x14ac:dyDescent="0.25">
      <c r="A328" s="58" t="s">
        <v>19</v>
      </c>
      <c r="B328" s="58" t="s">
        <v>19</v>
      </c>
      <c r="C328" s="58" t="s">
        <v>22</v>
      </c>
      <c r="D328" s="58" t="s">
        <v>19</v>
      </c>
      <c r="E328" s="58" t="s">
        <v>22</v>
      </c>
      <c r="F328" s="58" t="s">
        <v>19</v>
      </c>
      <c r="G328" s="58" t="s">
        <v>23</v>
      </c>
      <c r="H328" s="58" t="s">
        <v>20</v>
      </c>
      <c r="I328" s="58" t="s">
        <v>25</v>
      </c>
      <c r="J328" s="58" t="s">
        <v>19</v>
      </c>
      <c r="K328" s="58" t="s">
        <v>19</v>
      </c>
      <c r="L328" s="58" t="s">
        <v>21</v>
      </c>
      <c r="M328" s="58" t="s">
        <v>20</v>
      </c>
      <c r="N328" s="58" t="s">
        <v>19</v>
      </c>
      <c r="O328" s="58" t="s">
        <v>44</v>
      </c>
      <c r="P328" s="58" t="s">
        <v>23</v>
      </c>
      <c r="Q328" s="58" t="s">
        <v>187</v>
      </c>
      <c r="R328" s="159"/>
      <c r="S328" s="68" t="s">
        <v>0</v>
      </c>
      <c r="T328" s="1">
        <v>40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64">
        <f t="shared" si="82"/>
        <v>40</v>
      </c>
      <c r="AB328" s="63">
        <v>2018</v>
      </c>
      <c r="AC328" s="9"/>
      <c r="AD328" s="109"/>
      <c r="AE328" s="109"/>
    </row>
    <row r="329" spans="1:31" ht="16.350000000000001" hidden="1" customHeight="1" x14ac:dyDescent="0.25">
      <c r="A329" s="58" t="s">
        <v>19</v>
      </c>
      <c r="B329" s="58" t="s">
        <v>19</v>
      </c>
      <c r="C329" s="58" t="s">
        <v>22</v>
      </c>
      <c r="D329" s="58" t="s">
        <v>19</v>
      </c>
      <c r="E329" s="58" t="s">
        <v>22</v>
      </c>
      <c r="F329" s="58" t="s">
        <v>19</v>
      </c>
      <c r="G329" s="58" t="s">
        <v>23</v>
      </c>
      <c r="H329" s="58" t="s">
        <v>20</v>
      </c>
      <c r="I329" s="58" t="s">
        <v>25</v>
      </c>
      <c r="J329" s="58" t="s">
        <v>19</v>
      </c>
      <c r="K329" s="58" t="s">
        <v>19</v>
      </c>
      <c r="L329" s="58" t="s">
        <v>21</v>
      </c>
      <c r="M329" s="58" t="s">
        <v>38</v>
      </c>
      <c r="N329" s="58" t="s">
        <v>19</v>
      </c>
      <c r="O329" s="58" t="s">
        <v>25</v>
      </c>
      <c r="P329" s="58" t="s">
        <v>23</v>
      </c>
      <c r="Q329" s="58" t="s">
        <v>47</v>
      </c>
      <c r="R329" s="159"/>
      <c r="S329" s="68" t="s">
        <v>0</v>
      </c>
      <c r="T329" s="1">
        <v>30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4">
        <f t="shared" si="82"/>
        <v>30</v>
      </c>
      <c r="AB329" s="63">
        <v>2018</v>
      </c>
      <c r="AC329" s="9"/>
      <c r="AD329" s="109"/>
      <c r="AE329" s="109"/>
    </row>
    <row r="330" spans="1:31" ht="16.350000000000001" hidden="1" customHeight="1" x14ac:dyDescent="0.25">
      <c r="A330" s="58" t="s">
        <v>19</v>
      </c>
      <c r="B330" s="58" t="s">
        <v>19</v>
      </c>
      <c r="C330" s="58" t="s">
        <v>22</v>
      </c>
      <c r="D330" s="58" t="s">
        <v>19</v>
      </c>
      <c r="E330" s="58" t="s">
        <v>22</v>
      </c>
      <c r="F330" s="58" t="s">
        <v>19</v>
      </c>
      <c r="G330" s="58" t="s">
        <v>23</v>
      </c>
      <c r="H330" s="58" t="s">
        <v>20</v>
      </c>
      <c r="I330" s="58" t="s">
        <v>25</v>
      </c>
      <c r="J330" s="58" t="s">
        <v>19</v>
      </c>
      <c r="K330" s="58" t="s">
        <v>19</v>
      </c>
      <c r="L330" s="58" t="s">
        <v>21</v>
      </c>
      <c r="M330" s="58" t="s">
        <v>38</v>
      </c>
      <c r="N330" s="58" t="s">
        <v>19</v>
      </c>
      <c r="O330" s="58" t="s">
        <v>25</v>
      </c>
      <c r="P330" s="58" t="s">
        <v>23</v>
      </c>
      <c r="Q330" s="58" t="s">
        <v>47</v>
      </c>
      <c r="R330" s="159"/>
      <c r="S330" s="68" t="s">
        <v>0</v>
      </c>
      <c r="T330" s="1">
        <v>166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4">
        <f t="shared" si="82"/>
        <v>166</v>
      </c>
      <c r="AB330" s="63">
        <v>2018</v>
      </c>
      <c r="AC330" s="9"/>
      <c r="AD330" s="109"/>
      <c r="AE330" s="109"/>
    </row>
    <row r="331" spans="1:31" ht="16.350000000000001" hidden="1" customHeight="1" x14ac:dyDescent="0.25">
      <c r="A331" s="58" t="s">
        <v>19</v>
      </c>
      <c r="B331" s="58" t="s">
        <v>19</v>
      </c>
      <c r="C331" s="58" t="s">
        <v>22</v>
      </c>
      <c r="D331" s="58" t="s">
        <v>19</v>
      </c>
      <c r="E331" s="58" t="s">
        <v>22</v>
      </c>
      <c r="F331" s="58" t="s">
        <v>19</v>
      </c>
      <c r="G331" s="58" t="s">
        <v>23</v>
      </c>
      <c r="H331" s="58" t="s">
        <v>20</v>
      </c>
      <c r="I331" s="58" t="s">
        <v>25</v>
      </c>
      <c r="J331" s="58" t="s">
        <v>19</v>
      </c>
      <c r="K331" s="58" t="s">
        <v>19</v>
      </c>
      <c r="L331" s="58" t="s">
        <v>21</v>
      </c>
      <c r="M331" s="58" t="s">
        <v>38</v>
      </c>
      <c r="N331" s="58" t="s">
        <v>19</v>
      </c>
      <c r="O331" s="58" t="s">
        <v>25</v>
      </c>
      <c r="P331" s="58" t="s">
        <v>23</v>
      </c>
      <c r="Q331" s="58" t="s">
        <v>40</v>
      </c>
      <c r="R331" s="160"/>
      <c r="S331" s="68" t="s">
        <v>0</v>
      </c>
      <c r="T331" s="1">
        <v>464.4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4">
        <f t="shared" si="82"/>
        <v>464.4</v>
      </c>
      <c r="AB331" s="63">
        <v>2018</v>
      </c>
      <c r="AC331" s="9"/>
      <c r="AD331" s="109"/>
      <c r="AE331" s="109"/>
    </row>
    <row r="332" spans="1:31" ht="37.15" hidden="1" customHeight="1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85" t="s">
        <v>231</v>
      </c>
      <c r="S332" s="91" t="s">
        <v>184</v>
      </c>
      <c r="T332" s="3">
        <v>930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6">
        <f t="shared" si="82"/>
        <v>930</v>
      </c>
      <c r="AB332" s="42">
        <v>2018</v>
      </c>
      <c r="AC332" s="9"/>
      <c r="AD332" s="109"/>
      <c r="AE332" s="109"/>
    </row>
    <row r="333" spans="1:31" ht="22.15" hidden="1" customHeight="1" x14ac:dyDescent="0.2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158" t="s">
        <v>232</v>
      </c>
      <c r="S333" s="68" t="s">
        <v>0</v>
      </c>
      <c r="T333" s="1">
        <f>SUM(T334:T338)</f>
        <v>1421.6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4">
        <f t="shared" si="82"/>
        <v>1421.6</v>
      </c>
      <c r="AB333" s="63">
        <v>2018</v>
      </c>
      <c r="AC333" s="9"/>
      <c r="AD333" s="109"/>
      <c r="AE333" s="109"/>
    </row>
    <row r="334" spans="1:31" ht="16.350000000000001" hidden="1" customHeight="1" x14ac:dyDescent="0.25">
      <c r="A334" s="58" t="s">
        <v>19</v>
      </c>
      <c r="B334" s="58" t="s">
        <v>19</v>
      </c>
      <c r="C334" s="58" t="s">
        <v>22</v>
      </c>
      <c r="D334" s="58" t="s">
        <v>19</v>
      </c>
      <c r="E334" s="58" t="s">
        <v>22</v>
      </c>
      <c r="F334" s="58" t="s">
        <v>19</v>
      </c>
      <c r="G334" s="58" t="s">
        <v>23</v>
      </c>
      <c r="H334" s="58" t="s">
        <v>20</v>
      </c>
      <c r="I334" s="58" t="s">
        <v>25</v>
      </c>
      <c r="J334" s="58" t="s">
        <v>19</v>
      </c>
      <c r="K334" s="58" t="s">
        <v>19</v>
      </c>
      <c r="L334" s="58" t="s">
        <v>21</v>
      </c>
      <c r="M334" s="58" t="s">
        <v>20</v>
      </c>
      <c r="N334" s="58" t="s">
        <v>19</v>
      </c>
      <c r="O334" s="58" t="s">
        <v>25</v>
      </c>
      <c r="P334" s="58" t="s">
        <v>23</v>
      </c>
      <c r="Q334" s="58" t="s">
        <v>46</v>
      </c>
      <c r="R334" s="159"/>
      <c r="S334" s="68" t="s">
        <v>0</v>
      </c>
      <c r="T334" s="1">
        <v>400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4">
        <f t="shared" si="82"/>
        <v>400</v>
      </c>
      <c r="AB334" s="63">
        <v>2018</v>
      </c>
      <c r="AC334" s="9"/>
      <c r="AD334" s="109"/>
      <c r="AE334" s="109"/>
    </row>
    <row r="335" spans="1:31" ht="16.350000000000001" hidden="1" customHeight="1" x14ac:dyDescent="0.25">
      <c r="A335" s="58" t="s">
        <v>19</v>
      </c>
      <c r="B335" s="58" t="s">
        <v>19</v>
      </c>
      <c r="C335" s="58" t="s">
        <v>22</v>
      </c>
      <c r="D335" s="58" t="s">
        <v>19</v>
      </c>
      <c r="E335" s="58" t="s">
        <v>22</v>
      </c>
      <c r="F335" s="58" t="s">
        <v>19</v>
      </c>
      <c r="G335" s="58" t="s">
        <v>23</v>
      </c>
      <c r="H335" s="58" t="s">
        <v>20</v>
      </c>
      <c r="I335" s="58" t="s">
        <v>25</v>
      </c>
      <c r="J335" s="58" t="s">
        <v>19</v>
      </c>
      <c r="K335" s="58" t="s">
        <v>19</v>
      </c>
      <c r="L335" s="58" t="s">
        <v>21</v>
      </c>
      <c r="M335" s="58" t="s">
        <v>20</v>
      </c>
      <c r="N335" s="58" t="s">
        <v>19</v>
      </c>
      <c r="O335" s="58" t="s">
        <v>44</v>
      </c>
      <c r="P335" s="58" t="s">
        <v>23</v>
      </c>
      <c r="Q335" s="58" t="s">
        <v>187</v>
      </c>
      <c r="R335" s="159"/>
      <c r="S335" s="68" t="s">
        <v>0</v>
      </c>
      <c r="T335" s="1">
        <v>50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64">
        <f>SUM(T335:Y335)</f>
        <v>50</v>
      </c>
      <c r="AB335" s="63">
        <v>2018</v>
      </c>
      <c r="AC335" s="9"/>
      <c r="AD335" s="109"/>
      <c r="AE335" s="109"/>
    </row>
    <row r="336" spans="1:31" ht="16.350000000000001" hidden="1" customHeight="1" x14ac:dyDescent="0.25">
      <c r="A336" s="58" t="s">
        <v>19</v>
      </c>
      <c r="B336" s="58" t="s">
        <v>19</v>
      </c>
      <c r="C336" s="58" t="s">
        <v>22</v>
      </c>
      <c r="D336" s="58" t="s">
        <v>19</v>
      </c>
      <c r="E336" s="58" t="s">
        <v>22</v>
      </c>
      <c r="F336" s="58" t="s">
        <v>19</v>
      </c>
      <c r="G336" s="58" t="s">
        <v>23</v>
      </c>
      <c r="H336" s="58" t="s">
        <v>20</v>
      </c>
      <c r="I336" s="58" t="s">
        <v>25</v>
      </c>
      <c r="J336" s="58" t="s">
        <v>19</v>
      </c>
      <c r="K336" s="58" t="s">
        <v>19</v>
      </c>
      <c r="L336" s="58" t="s">
        <v>21</v>
      </c>
      <c r="M336" s="58" t="s">
        <v>38</v>
      </c>
      <c r="N336" s="58" t="s">
        <v>19</v>
      </c>
      <c r="O336" s="58" t="s">
        <v>25</v>
      </c>
      <c r="P336" s="58" t="s">
        <v>23</v>
      </c>
      <c r="Q336" s="58" t="s">
        <v>47</v>
      </c>
      <c r="R336" s="159"/>
      <c r="S336" s="68" t="s">
        <v>0</v>
      </c>
      <c r="T336" s="1">
        <v>83.1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4">
        <f t="shared" si="82"/>
        <v>83.1</v>
      </c>
      <c r="AB336" s="63">
        <v>2018</v>
      </c>
      <c r="AC336" s="9"/>
      <c r="AD336" s="109"/>
      <c r="AE336" s="109"/>
    </row>
    <row r="337" spans="1:31" ht="16.350000000000001" hidden="1" customHeight="1" x14ac:dyDescent="0.25">
      <c r="A337" s="58" t="s">
        <v>19</v>
      </c>
      <c r="B337" s="58" t="s">
        <v>19</v>
      </c>
      <c r="C337" s="58" t="s">
        <v>22</v>
      </c>
      <c r="D337" s="58" t="s">
        <v>19</v>
      </c>
      <c r="E337" s="58" t="s">
        <v>22</v>
      </c>
      <c r="F337" s="58" t="s">
        <v>19</v>
      </c>
      <c r="G337" s="58" t="s">
        <v>23</v>
      </c>
      <c r="H337" s="58" t="s">
        <v>20</v>
      </c>
      <c r="I337" s="58" t="s">
        <v>25</v>
      </c>
      <c r="J337" s="58" t="s">
        <v>19</v>
      </c>
      <c r="K337" s="58" t="s">
        <v>19</v>
      </c>
      <c r="L337" s="58" t="s">
        <v>21</v>
      </c>
      <c r="M337" s="58" t="s">
        <v>38</v>
      </c>
      <c r="N337" s="58" t="s">
        <v>19</v>
      </c>
      <c r="O337" s="58" t="s">
        <v>25</v>
      </c>
      <c r="P337" s="58" t="s">
        <v>23</v>
      </c>
      <c r="Q337" s="58" t="s">
        <v>47</v>
      </c>
      <c r="R337" s="159"/>
      <c r="S337" s="68" t="s">
        <v>0</v>
      </c>
      <c r="T337" s="1">
        <v>143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4">
        <f t="shared" si="82"/>
        <v>143</v>
      </c>
      <c r="AB337" s="63">
        <v>2018</v>
      </c>
      <c r="AC337" s="9"/>
      <c r="AD337" s="109"/>
      <c r="AE337" s="109"/>
    </row>
    <row r="338" spans="1:31" ht="16.350000000000001" hidden="1" customHeight="1" x14ac:dyDescent="0.25">
      <c r="A338" s="58" t="s">
        <v>19</v>
      </c>
      <c r="B338" s="58" t="s">
        <v>19</v>
      </c>
      <c r="C338" s="58" t="s">
        <v>22</v>
      </c>
      <c r="D338" s="58" t="s">
        <v>19</v>
      </c>
      <c r="E338" s="58" t="s">
        <v>22</v>
      </c>
      <c r="F338" s="58" t="s">
        <v>19</v>
      </c>
      <c r="G338" s="58" t="s">
        <v>23</v>
      </c>
      <c r="H338" s="58" t="s">
        <v>20</v>
      </c>
      <c r="I338" s="58" t="s">
        <v>25</v>
      </c>
      <c r="J338" s="58" t="s">
        <v>19</v>
      </c>
      <c r="K338" s="58" t="s">
        <v>19</v>
      </c>
      <c r="L338" s="58" t="s">
        <v>21</v>
      </c>
      <c r="M338" s="58" t="s">
        <v>38</v>
      </c>
      <c r="N338" s="58" t="s">
        <v>19</v>
      </c>
      <c r="O338" s="58" t="s">
        <v>25</v>
      </c>
      <c r="P338" s="58" t="s">
        <v>23</v>
      </c>
      <c r="Q338" s="58" t="s">
        <v>40</v>
      </c>
      <c r="R338" s="160"/>
      <c r="S338" s="68" t="s">
        <v>0</v>
      </c>
      <c r="T338" s="1">
        <v>745.5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4">
        <f t="shared" si="82"/>
        <v>745.5</v>
      </c>
      <c r="AB338" s="63">
        <v>2018</v>
      </c>
      <c r="AC338" s="9"/>
      <c r="AD338" s="109"/>
      <c r="AE338" s="109"/>
    </row>
    <row r="339" spans="1:31" ht="36.6" hidden="1" customHeight="1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85" t="s">
        <v>233</v>
      </c>
      <c r="S339" s="91" t="s">
        <v>184</v>
      </c>
      <c r="T339" s="3">
        <v>1070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6">
        <f t="shared" si="82"/>
        <v>1070</v>
      </c>
      <c r="AB339" s="42">
        <v>2018</v>
      </c>
      <c r="AC339" s="9"/>
      <c r="AD339" s="109"/>
      <c r="AE339" s="109"/>
    </row>
    <row r="340" spans="1:31" ht="19.899999999999999" hidden="1" customHeight="1" x14ac:dyDescent="0.25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158" t="s">
        <v>234</v>
      </c>
      <c r="S340" s="68" t="s">
        <v>0</v>
      </c>
      <c r="T340" s="1">
        <f>SUM(T341:T345)</f>
        <v>263.89999999999998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4">
        <f t="shared" si="82"/>
        <v>263.89999999999998</v>
      </c>
      <c r="AB340" s="63">
        <v>2018</v>
      </c>
      <c r="AC340" s="9"/>
      <c r="AD340" s="109"/>
      <c r="AE340" s="109"/>
    </row>
    <row r="341" spans="1:31" ht="16.350000000000001" hidden="1" customHeight="1" x14ac:dyDescent="0.25">
      <c r="A341" s="58" t="s">
        <v>19</v>
      </c>
      <c r="B341" s="58" t="s">
        <v>19</v>
      </c>
      <c r="C341" s="58" t="s">
        <v>22</v>
      </c>
      <c r="D341" s="58" t="s">
        <v>19</v>
      </c>
      <c r="E341" s="58" t="s">
        <v>22</v>
      </c>
      <c r="F341" s="58" t="s">
        <v>19</v>
      </c>
      <c r="G341" s="58" t="s">
        <v>23</v>
      </c>
      <c r="H341" s="58" t="s">
        <v>20</v>
      </c>
      <c r="I341" s="58" t="s">
        <v>25</v>
      </c>
      <c r="J341" s="58" t="s">
        <v>19</v>
      </c>
      <c r="K341" s="58" t="s">
        <v>19</v>
      </c>
      <c r="L341" s="58" t="s">
        <v>21</v>
      </c>
      <c r="M341" s="58" t="s">
        <v>20</v>
      </c>
      <c r="N341" s="58" t="s">
        <v>19</v>
      </c>
      <c r="O341" s="58" t="s">
        <v>25</v>
      </c>
      <c r="P341" s="58" t="s">
        <v>23</v>
      </c>
      <c r="Q341" s="58" t="s">
        <v>46</v>
      </c>
      <c r="R341" s="159"/>
      <c r="S341" s="68" t="s">
        <v>0</v>
      </c>
      <c r="T341" s="1">
        <v>105.5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4">
        <f t="shared" si="82"/>
        <v>105.5</v>
      </c>
      <c r="AB341" s="63">
        <v>2018</v>
      </c>
      <c r="AC341" s="9"/>
      <c r="AD341" s="109"/>
      <c r="AE341" s="109"/>
    </row>
    <row r="342" spans="1:31" ht="16.350000000000001" hidden="1" customHeight="1" x14ac:dyDescent="0.25">
      <c r="A342" s="58" t="s">
        <v>19</v>
      </c>
      <c r="B342" s="58" t="s">
        <v>19</v>
      </c>
      <c r="C342" s="58" t="s">
        <v>22</v>
      </c>
      <c r="D342" s="58" t="s">
        <v>19</v>
      </c>
      <c r="E342" s="58" t="s">
        <v>22</v>
      </c>
      <c r="F342" s="58" t="s">
        <v>19</v>
      </c>
      <c r="G342" s="58" t="s">
        <v>23</v>
      </c>
      <c r="H342" s="58" t="s">
        <v>20</v>
      </c>
      <c r="I342" s="58" t="s">
        <v>25</v>
      </c>
      <c r="J342" s="58" t="s">
        <v>19</v>
      </c>
      <c r="K342" s="58" t="s">
        <v>19</v>
      </c>
      <c r="L342" s="58" t="s">
        <v>21</v>
      </c>
      <c r="M342" s="58" t="s">
        <v>20</v>
      </c>
      <c r="N342" s="58" t="s">
        <v>19</v>
      </c>
      <c r="O342" s="58" t="s">
        <v>44</v>
      </c>
      <c r="P342" s="58" t="s">
        <v>23</v>
      </c>
      <c r="Q342" s="58" t="s">
        <v>187</v>
      </c>
      <c r="R342" s="159"/>
      <c r="S342" s="68" t="s">
        <v>0</v>
      </c>
      <c r="T342" s="1">
        <v>20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64">
        <f t="shared" si="82"/>
        <v>20</v>
      </c>
      <c r="AB342" s="63">
        <v>2018</v>
      </c>
      <c r="AC342" s="9"/>
      <c r="AD342" s="109"/>
      <c r="AE342" s="109"/>
    </row>
    <row r="343" spans="1:31" ht="16.350000000000001" hidden="1" customHeight="1" x14ac:dyDescent="0.25">
      <c r="A343" s="58" t="s">
        <v>19</v>
      </c>
      <c r="B343" s="58" t="s">
        <v>19</v>
      </c>
      <c r="C343" s="58" t="s">
        <v>22</v>
      </c>
      <c r="D343" s="58" t="s">
        <v>19</v>
      </c>
      <c r="E343" s="58" t="s">
        <v>22</v>
      </c>
      <c r="F343" s="58" t="s">
        <v>19</v>
      </c>
      <c r="G343" s="58" t="s">
        <v>23</v>
      </c>
      <c r="H343" s="58" t="s">
        <v>20</v>
      </c>
      <c r="I343" s="58" t="s">
        <v>25</v>
      </c>
      <c r="J343" s="58" t="s">
        <v>19</v>
      </c>
      <c r="K343" s="58" t="s">
        <v>19</v>
      </c>
      <c r="L343" s="58" t="s">
        <v>21</v>
      </c>
      <c r="M343" s="58" t="s">
        <v>38</v>
      </c>
      <c r="N343" s="58" t="s">
        <v>19</v>
      </c>
      <c r="O343" s="58" t="s">
        <v>25</v>
      </c>
      <c r="P343" s="58" t="s">
        <v>23</v>
      </c>
      <c r="Q343" s="58" t="s">
        <v>47</v>
      </c>
      <c r="R343" s="159"/>
      <c r="S343" s="68" t="s">
        <v>0</v>
      </c>
      <c r="T343" s="1">
        <v>19.399999999999999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4">
        <f t="shared" si="82"/>
        <v>19.399999999999999</v>
      </c>
      <c r="AB343" s="63">
        <v>2018</v>
      </c>
      <c r="AC343" s="9"/>
      <c r="AD343" s="109"/>
      <c r="AE343" s="109"/>
    </row>
    <row r="344" spans="1:31" ht="16.350000000000001" hidden="1" customHeight="1" x14ac:dyDescent="0.25">
      <c r="A344" s="58" t="s">
        <v>19</v>
      </c>
      <c r="B344" s="58" t="s">
        <v>19</v>
      </c>
      <c r="C344" s="58" t="s">
        <v>22</v>
      </c>
      <c r="D344" s="58" t="s">
        <v>19</v>
      </c>
      <c r="E344" s="58" t="s">
        <v>22</v>
      </c>
      <c r="F344" s="58" t="s">
        <v>19</v>
      </c>
      <c r="G344" s="58" t="s">
        <v>23</v>
      </c>
      <c r="H344" s="58" t="s">
        <v>20</v>
      </c>
      <c r="I344" s="58" t="s">
        <v>25</v>
      </c>
      <c r="J344" s="58" t="s">
        <v>19</v>
      </c>
      <c r="K344" s="58" t="s">
        <v>19</v>
      </c>
      <c r="L344" s="58" t="s">
        <v>21</v>
      </c>
      <c r="M344" s="58" t="s">
        <v>38</v>
      </c>
      <c r="N344" s="58" t="s">
        <v>19</v>
      </c>
      <c r="O344" s="58" t="s">
        <v>25</v>
      </c>
      <c r="P344" s="58" t="s">
        <v>23</v>
      </c>
      <c r="Q344" s="58" t="s">
        <v>47</v>
      </c>
      <c r="R344" s="159"/>
      <c r="S344" s="68" t="s">
        <v>0</v>
      </c>
      <c r="T344" s="1">
        <v>39.6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4">
        <f t="shared" si="82"/>
        <v>39.6</v>
      </c>
      <c r="AB344" s="63">
        <v>2018</v>
      </c>
      <c r="AC344" s="9"/>
      <c r="AD344" s="109"/>
      <c r="AE344" s="109"/>
    </row>
    <row r="345" spans="1:31" ht="16.350000000000001" hidden="1" customHeight="1" x14ac:dyDescent="0.25">
      <c r="A345" s="58" t="s">
        <v>19</v>
      </c>
      <c r="B345" s="58" t="s">
        <v>19</v>
      </c>
      <c r="C345" s="58" t="s">
        <v>22</v>
      </c>
      <c r="D345" s="58" t="s">
        <v>19</v>
      </c>
      <c r="E345" s="58" t="s">
        <v>22</v>
      </c>
      <c r="F345" s="58" t="s">
        <v>19</v>
      </c>
      <c r="G345" s="58" t="s">
        <v>23</v>
      </c>
      <c r="H345" s="58" t="s">
        <v>20</v>
      </c>
      <c r="I345" s="58" t="s">
        <v>25</v>
      </c>
      <c r="J345" s="58" t="s">
        <v>19</v>
      </c>
      <c r="K345" s="58" t="s">
        <v>19</v>
      </c>
      <c r="L345" s="58" t="s">
        <v>21</v>
      </c>
      <c r="M345" s="58" t="s">
        <v>38</v>
      </c>
      <c r="N345" s="58" t="s">
        <v>19</v>
      </c>
      <c r="O345" s="58" t="s">
        <v>25</v>
      </c>
      <c r="P345" s="58" t="s">
        <v>23</v>
      </c>
      <c r="Q345" s="58" t="s">
        <v>40</v>
      </c>
      <c r="R345" s="160"/>
      <c r="S345" s="68" t="s">
        <v>0</v>
      </c>
      <c r="T345" s="1">
        <v>79.400000000000006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4">
        <f t="shared" si="82"/>
        <v>79.400000000000006</v>
      </c>
      <c r="AB345" s="63">
        <v>2018</v>
      </c>
      <c r="AC345" s="9"/>
      <c r="AD345" s="109"/>
      <c r="AE345" s="109"/>
    </row>
    <row r="346" spans="1:31" ht="36.6" hidden="1" customHeight="1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85" t="s">
        <v>235</v>
      </c>
      <c r="S346" s="91" t="s">
        <v>8</v>
      </c>
      <c r="T346" s="45">
        <v>5</v>
      </c>
      <c r="U346" s="45">
        <v>0</v>
      </c>
      <c r="V346" s="45">
        <v>0</v>
      </c>
      <c r="W346" s="45">
        <v>0</v>
      </c>
      <c r="X346" s="45">
        <v>0</v>
      </c>
      <c r="Y346" s="45">
        <v>0</v>
      </c>
      <c r="Z346" s="45">
        <v>0</v>
      </c>
      <c r="AA346" s="6">
        <f t="shared" si="82"/>
        <v>5</v>
      </c>
      <c r="AB346" s="42">
        <v>2018</v>
      </c>
      <c r="AC346" s="9"/>
      <c r="AD346" s="109"/>
      <c r="AE346" s="109"/>
    </row>
    <row r="347" spans="1:31" ht="15.6" hidden="1" customHeight="1" x14ac:dyDescent="0.25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158" t="s">
        <v>236</v>
      </c>
      <c r="S347" s="68" t="s">
        <v>0</v>
      </c>
      <c r="T347" s="1">
        <f>SUM(T348:T352)</f>
        <v>490.3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4">
        <f t="shared" si="82"/>
        <v>490.3</v>
      </c>
      <c r="AB347" s="63">
        <v>2018</v>
      </c>
      <c r="AC347" s="9"/>
      <c r="AD347" s="109"/>
      <c r="AE347" s="109"/>
    </row>
    <row r="348" spans="1:31" ht="15.6" hidden="1" customHeight="1" x14ac:dyDescent="0.25">
      <c r="A348" s="58" t="s">
        <v>19</v>
      </c>
      <c r="B348" s="58" t="s">
        <v>19</v>
      </c>
      <c r="C348" s="58" t="s">
        <v>22</v>
      </c>
      <c r="D348" s="58" t="s">
        <v>19</v>
      </c>
      <c r="E348" s="58" t="s">
        <v>25</v>
      </c>
      <c r="F348" s="58" t="s">
        <v>19</v>
      </c>
      <c r="G348" s="58" t="s">
        <v>44</v>
      </c>
      <c r="H348" s="58" t="s">
        <v>20</v>
      </c>
      <c r="I348" s="58" t="s">
        <v>25</v>
      </c>
      <c r="J348" s="58" t="s">
        <v>19</v>
      </c>
      <c r="K348" s="58" t="s">
        <v>19</v>
      </c>
      <c r="L348" s="58" t="s">
        <v>21</v>
      </c>
      <c r="M348" s="58" t="s">
        <v>20</v>
      </c>
      <c r="N348" s="58" t="s">
        <v>19</v>
      </c>
      <c r="O348" s="58" t="s">
        <v>25</v>
      </c>
      <c r="P348" s="58" t="s">
        <v>23</v>
      </c>
      <c r="Q348" s="58" t="s">
        <v>46</v>
      </c>
      <c r="R348" s="159"/>
      <c r="S348" s="68" t="s">
        <v>0</v>
      </c>
      <c r="T348" s="1">
        <v>196.1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4">
        <f t="shared" si="82"/>
        <v>196.1</v>
      </c>
      <c r="AB348" s="63">
        <v>2018</v>
      </c>
      <c r="AC348" s="9"/>
      <c r="AD348" s="109"/>
      <c r="AE348" s="109"/>
    </row>
    <row r="349" spans="1:31" ht="15.6" hidden="1" customHeight="1" x14ac:dyDescent="0.25">
      <c r="A349" s="58" t="s">
        <v>19</v>
      </c>
      <c r="B349" s="58" t="s">
        <v>19</v>
      </c>
      <c r="C349" s="58" t="s">
        <v>22</v>
      </c>
      <c r="D349" s="58" t="s">
        <v>19</v>
      </c>
      <c r="E349" s="58" t="s">
        <v>25</v>
      </c>
      <c r="F349" s="58" t="s">
        <v>19</v>
      </c>
      <c r="G349" s="58" t="s">
        <v>44</v>
      </c>
      <c r="H349" s="58" t="s">
        <v>20</v>
      </c>
      <c r="I349" s="58" t="s">
        <v>25</v>
      </c>
      <c r="J349" s="58" t="s">
        <v>19</v>
      </c>
      <c r="K349" s="58" t="s">
        <v>19</v>
      </c>
      <c r="L349" s="58" t="s">
        <v>21</v>
      </c>
      <c r="M349" s="58" t="s">
        <v>20</v>
      </c>
      <c r="N349" s="58" t="s">
        <v>19</v>
      </c>
      <c r="O349" s="58" t="s">
        <v>44</v>
      </c>
      <c r="P349" s="58" t="s">
        <v>23</v>
      </c>
      <c r="Q349" s="58" t="s">
        <v>187</v>
      </c>
      <c r="R349" s="159"/>
      <c r="S349" s="68" t="s">
        <v>0</v>
      </c>
      <c r="T349" s="1">
        <v>30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64">
        <f>SUM(T349:Y349)</f>
        <v>30</v>
      </c>
      <c r="AB349" s="63">
        <v>2018</v>
      </c>
      <c r="AC349" s="9"/>
      <c r="AD349" s="109"/>
      <c r="AE349" s="109"/>
    </row>
    <row r="350" spans="1:31" ht="15.6" hidden="1" customHeight="1" x14ac:dyDescent="0.25">
      <c r="A350" s="58" t="s">
        <v>19</v>
      </c>
      <c r="B350" s="58" t="s">
        <v>19</v>
      </c>
      <c r="C350" s="58" t="s">
        <v>22</v>
      </c>
      <c r="D350" s="58" t="s">
        <v>19</v>
      </c>
      <c r="E350" s="58" t="s">
        <v>25</v>
      </c>
      <c r="F350" s="58" t="s">
        <v>19</v>
      </c>
      <c r="G350" s="58" t="s">
        <v>44</v>
      </c>
      <c r="H350" s="58" t="s">
        <v>20</v>
      </c>
      <c r="I350" s="58" t="s">
        <v>25</v>
      </c>
      <c r="J350" s="58" t="s">
        <v>19</v>
      </c>
      <c r="K350" s="58" t="s">
        <v>19</v>
      </c>
      <c r="L350" s="58" t="s">
        <v>21</v>
      </c>
      <c r="M350" s="58" t="s">
        <v>38</v>
      </c>
      <c r="N350" s="58" t="s">
        <v>19</v>
      </c>
      <c r="O350" s="58" t="s">
        <v>25</v>
      </c>
      <c r="P350" s="58" t="s">
        <v>23</v>
      </c>
      <c r="Q350" s="58" t="s">
        <v>47</v>
      </c>
      <c r="R350" s="159"/>
      <c r="S350" s="68" t="s">
        <v>0</v>
      </c>
      <c r="T350" s="1">
        <v>33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4">
        <f t="shared" si="82"/>
        <v>33</v>
      </c>
      <c r="AB350" s="63">
        <v>2018</v>
      </c>
      <c r="AC350" s="9"/>
      <c r="AD350" s="109"/>
      <c r="AE350" s="109"/>
    </row>
    <row r="351" spans="1:31" ht="15.6" hidden="1" customHeight="1" x14ac:dyDescent="0.25">
      <c r="A351" s="58" t="s">
        <v>19</v>
      </c>
      <c r="B351" s="58" t="s">
        <v>19</v>
      </c>
      <c r="C351" s="58" t="s">
        <v>22</v>
      </c>
      <c r="D351" s="58" t="s">
        <v>19</v>
      </c>
      <c r="E351" s="58" t="s">
        <v>25</v>
      </c>
      <c r="F351" s="58" t="s">
        <v>19</v>
      </c>
      <c r="G351" s="58" t="s">
        <v>44</v>
      </c>
      <c r="H351" s="58" t="s">
        <v>20</v>
      </c>
      <c r="I351" s="58" t="s">
        <v>25</v>
      </c>
      <c r="J351" s="58" t="s">
        <v>19</v>
      </c>
      <c r="K351" s="58" t="s">
        <v>19</v>
      </c>
      <c r="L351" s="58" t="s">
        <v>21</v>
      </c>
      <c r="M351" s="58" t="s">
        <v>38</v>
      </c>
      <c r="N351" s="58" t="s">
        <v>19</v>
      </c>
      <c r="O351" s="58" t="s">
        <v>25</v>
      </c>
      <c r="P351" s="58" t="s">
        <v>23</v>
      </c>
      <c r="Q351" s="58" t="s">
        <v>47</v>
      </c>
      <c r="R351" s="159"/>
      <c r="S351" s="68" t="s">
        <v>0</v>
      </c>
      <c r="T351" s="1">
        <v>102.9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4">
        <f t="shared" si="82"/>
        <v>102.9</v>
      </c>
      <c r="AB351" s="63">
        <v>2018</v>
      </c>
      <c r="AC351" s="9"/>
      <c r="AD351" s="109"/>
      <c r="AE351" s="109"/>
    </row>
    <row r="352" spans="1:31" ht="15.6" hidden="1" customHeight="1" x14ac:dyDescent="0.25">
      <c r="A352" s="58" t="s">
        <v>19</v>
      </c>
      <c r="B352" s="58" t="s">
        <v>19</v>
      </c>
      <c r="C352" s="58" t="s">
        <v>22</v>
      </c>
      <c r="D352" s="58" t="s">
        <v>19</v>
      </c>
      <c r="E352" s="58" t="s">
        <v>25</v>
      </c>
      <c r="F352" s="58" t="s">
        <v>19</v>
      </c>
      <c r="G352" s="58" t="s">
        <v>44</v>
      </c>
      <c r="H352" s="58" t="s">
        <v>20</v>
      </c>
      <c r="I352" s="58" t="s">
        <v>25</v>
      </c>
      <c r="J352" s="58" t="s">
        <v>19</v>
      </c>
      <c r="K352" s="58" t="s">
        <v>19</v>
      </c>
      <c r="L352" s="58" t="s">
        <v>21</v>
      </c>
      <c r="M352" s="58" t="s">
        <v>38</v>
      </c>
      <c r="N352" s="58" t="s">
        <v>19</v>
      </c>
      <c r="O352" s="58" t="s">
        <v>25</v>
      </c>
      <c r="P352" s="58" t="s">
        <v>23</v>
      </c>
      <c r="Q352" s="58" t="s">
        <v>40</v>
      </c>
      <c r="R352" s="160"/>
      <c r="S352" s="68" t="s">
        <v>0</v>
      </c>
      <c r="T352" s="1">
        <v>128.30000000000001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4">
        <f t="shared" si="82"/>
        <v>128.30000000000001</v>
      </c>
      <c r="AB352" s="63">
        <v>2018</v>
      </c>
      <c r="AC352" s="9"/>
      <c r="AD352" s="109"/>
      <c r="AE352" s="109"/>
    </row>
    <row r="353" spans="1:31" ht="31.15" hidden="1" customHeight="1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83" t="s">
        <v>237</v>
      </c>
      <c r="S353" s="96" t="s">
        <v>189</v>
      </c>
      <c r="T353" s="3">
        <v>180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6">
        <f t="shared" si="82"/>
        <v>180</v>
      </c>
      <c r="AB353" s="42">
        <v>2018</v>
      </c>
      <c r="AC353" s="9"/>
      <c r="AD353" s="109"/>
      <c r="AE353" s="109"/>
    </row>
    <row r="354" spans="1:31" ht="15.6" hidden="1" customHeight="1" x14ac:dyDescent="0.25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158" t="s">
        <v>238</v>
      </c>
      <c r="S354" s="68" t="s">
        <v>0</v>
      </c>
      <c r="T354" s="1">
        <f>SUM(T355:T359)</f>
        <v>1177.5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4">
        <f t="shared" si="82"/>
        <v>1177.5</v>
      </c>
      <c r="AB354" s="63">
        <v>2018</v>
      </c>
      <c r="AC354" s="9"/>
      <c r="AD354" s="109"/>
      <c r="AE354" s="109"/>
    </row>
    <row r="355" spans="1:31" ht="15.6" hidden="1" customHeight="1" x14ac:dyDescent="0.25">
      <c r="A355" s="58" t="s">
        <v>19</v>
      </c>
      <c r="B355" s="58" t="s">
        <v>19</v>
      </c>
      <c r="C355" s="58" t="s">
        <v>22</v>
      </c>
      <c r="D355" s="58" t="s">
        <v>19</v>
      </c>
      <c r="E355" s="58" t="s">
        <v>22</v>
      </c>
      <c r="F355" s="58" t="s">
        <v>19</v>
      </c>
      <c r="G355" s="58" t="s">
        <v>23</v>
      </c>
      <c r="H355" s="58" t="s">
        <v>20</v>
      </c>
      <c r="I355" s="58" t="s">
        <v>25</v>
      </c>
      <c r="J355" s="58" t="s">
        <v>19</v>
      </c>
      <c r="K355" s="58" t="s">
        <v>19</v>
      </c>
      <c r="L355" s="58" t="s">
        <v>21</v>
      </c>
      <c r="M355" s="58" t="s">
        <v>20</v>
      </c>
      <c r="N355" s="58" t="s">
        <v>19</v>
      </c>
      <c r="O355" s="58" t="s">
        <v>25</v>
      </c>
      <c r="P355" s="58" t="s">
        <v>23</v>
      </c>
      <c r="Q355" s="58" t="s">
        <v>46</v>
      </c>
      <c r="R355" s="159"/>
      <c r="S355" s="68" t="s">
        <v>0</v>
      </c>
      <c r="T355" s="1">
        <v>400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4">
        <f t="shared" si="82"/>
        <v>400</v>
      </c>
      <c r="AB355" s="63">
        <v>2018</v>
      </c>
      <c r="AC355" s="9"/>
      <c r="AD355" s="109"/>
      <c r="AE355" s="109"/>
    </row>
    <row r="356" spans="1:31" ht="15.6" hidden="1" customHeight="1" x14ac:dyDescent="0.25">
      <c r="A356" s="58" t="s">
        <v>19</v>
      </c>
      <c r="B356" s="58" t="s">
        <v>19</v>
      </c>
      <c r="C356" s="58" t="s">
        <v>22</v>
      </c>
      <c r="D356" s="58" t="s">
        <v>19</v>
      </c>
      <c r="E356" s="58" t="s">
        <v>22</v>
      </c>
      <c r="F356" s="58" t="s">
        <v>19</v>
      </c>
      <c r="G356" s="58" t="s">
        <v>23</v>
      </c>
      <c r="H356" s="58" t="s">
        <v>20</v>
      </c>
      <c r="I356" s="58" t="s">
        <v>25</v>
      </c>
      <c r="J356" s="58" t="s">
        <v>19</v>
      </c>
      <c r="K356" s="58" t="s">
        <v>19</v>
      </c>
      <c r="L356" s="58" t="s">
        <v>21</v>
      </c>
      <c r="M356" s="58" t="s">
        <v>20</v>
      </c>
      <c r="N356" s="58" t="s">
        <v>19</v>
      </c>
      <c r="O356" s="58" t="s">
        <v>44</v>
      </c>
      <c r="P356" s="58" t="s">
        <v>23</v>
      </c>
      <c r="Q356" s="58" t="s">
        <v>187</v>
      </c>
      <c r="R356" s="159"/>
      <c r="S356" s="68" t="s">
        <v>0</v>
      </c>
      <c r="T356" s="1">
        <v>45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64">
        <f t="shared" si="82"/>
        <v>45</v>
      </c>
      <c r="AB356" s="63">
        <v>2018</v>
      </c>
      <c r="AC356" s="9"/>
      <c r="AD356" s="109"/>
      <c r="AE356" s="109"/>
    </row>
    <row r="357" spans="1:31" ht="15.6" hidden="1" customHeight="1" x14ac:dyDescent="0.25">
      <c r="A357" s="58" t="s">
        <v>19</v>
      </c>
      <c r="B357" s="58" t="s">
        <v>19</v>
      </c>
      <c r="C357" s="58" t="s">
        <v>22</v>
      </c>
      <c r="D357" s="58" t="s">
        <v>19</v>
      </c>
      <c r="E357" s="58" t="s">
        <v>22</v>
      </c>
      <c r="F357" s="58" t="s">
        <v>19</v>
      </c>
      <c r="G357" s="58" t="s">
        <v>23</v>
      </c>
      <c r="H357" s="58" t="s">
        <v>20</v>
      </c>
      <c r="I357" s="58" t="s">
        <v>25</v>
      </c>
      <c r="J357" s="58" t="s">
        <v>19</v>
      </c>
      <c r="K357" s="58" t="s">
        <v>19</v>
      </c>
      <c r="L357" s="58" t="s">
        <v>21</v>
      </c>
      <c r="M357" s="58" t="s">
        <v>38</v>
      </c>
      <c r="N357" s="58" t="s">
        <v>19</v>
      </c>
      <c r="O357" s="58" t="s">
        <v>25</v>
      </c>
      <c r="P357" s="58" t="s">
        <v>23</v>
      </c>
      <c r="Q357" s="58" t="s">
        <v>47</v>
      </c>
      <c r="R357" s="159"/>
      <c r="S357" s="68" t="s">
        <v>0</v>
      </c>
      <c r="T357" s="1">
        <v>58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4">
        <f t="shared" si="82"/>
        <v>58</v>
      </c>
      <c r="AB357" s="63">
        <v>2018</v>
      </c>
      <c r="AC357" s="9"/>
      <c r="AD357" s="109"/>
      <c r="AE357" s="109"/>
    </row>
    <row r="358" spans="1:31" ht="15.6" hidden="1" customHeight="1" x14ac:dyDescent="0.25">
      <c r="A358" s="58" t="s">
        <v>19</v>
      </c>
      <c r="B358" s="58" t="s">
        <v>19</v>
      </c>
      <c r="C358" s="58" t="s">
        <v>22</v>
      </c>
      <c r="D358" s="58" t="s">
        <v>19</v>
      </c>
      <c r="E358" s="58" t="s">
        <v>22</v>
      </c>
      <c r="F358" s="58" t="s">
        <v>19</v>
      </c>
      <c r="G358" s="58" t="s">
        <v>23</v>
      </c>
      <c r="H358" s="58" t="s">
        <v>20</v>
      </c>
      <c r="I358" s="58" t="s">
        <v>25</v>
      </c>
      <c r="J358" s="58" t="s">
        <v>19</v>
      </c>
      <c r="K358" s="58" t="s">
        <v>19</v>
      </c>
      <c r="L358" s="58" t="s">
        <v>21</v>
      </c>
      <c r="M358" s="58" t="s">
        <v>38</v>
      </c>
      <c r="N358" s="58" t="s">
        <v>19</v>
      </c>
      <c r="O358" s="58" t="s">
        <v>25</v>
      </c>
      <c r="P358" s="58" t="s">
        <v>23</v>
      </c>
      <c r="Q358" s="58" t="s">
        <v>47</v>
      </c>
      <c r="R358" s="159"/>
      <c r="S358" s="68" t="s">
        <v>0</v>
      </c>
      <c r="T358" s="1">
        <v>353.3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4">
        <f t="shared" si="82"/>
        <v>353.3</v>
      </c>
      <c r="AB358" s="63">
        <v>2018</v>
      </c>
      <c r="AC358" s="93"/>
      <c r="AD358" s="109"/>
      <c r="AE358" s="109"/>
    </row>
    <row r="359" spans="1:31" ht="15.6" hidden="1" customHeight="1" x14ac:dyDescent="0.25">
      <c r="A359" s="58" t="s">
        <v>19</v>
      </c>
      <c r="B359" s="58" t="s">
        <v>19</v>
      </c>
      <c r="C359" s="58" t="s">
        <v>22</v>
      </c>
      <c r="D359" s="58" t="s">
        <v>19</v>
      </c>
      <c r="E359" s="58" t="s">
        <v>22</v>
      </c>
      <c r="F359" s="58" t="s">
        <v>19</v>
      </c>
      <c r="G359" s="58" t="s">
        <v>23</v>
      </c>
      <c r="H359" s="58" t="s">
        <v>20</v>
      </c>
      <c r="I359" s="58" t="s">
        <v>25</v>
      </c>
      <c r="J359" s="58" t="s">
        <v>19</v>
      </c>
      <c r="K359" s="58" t="s">
        <v>19</v>
      </c>
      <c r="L359" s="58" t="s">
        <v>21</v>
      </c>
      <c r="M359" s="58" t="s">
        <v>38</v>
      </c>
      <c r="N359" s="58" t="s">
        <v>19</v>
      </c>
      <c r="O359" s="58" t="s">
        <v>25</v>
      </c>
      <c r="P359" s="58" t="s">
        <v>23</v>
      </c>
      <c r="Q359" s="58" t="s">
        <v>40</v>
      </c>
      <c r="R359" s="160"/>
      <c r="S359" s="68" t="s">
        <v>0</v>
      </c>
      <c r="T359" s="1">
        <v>321.2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4">
        <f t="shared" si="82"/>
        <v>321.2</v>
      </c>
      <c r="AB359" s="63">
        <v>2018</v>
      </c>
      <c r="AC359" s="9"/>
      <c r="AD359" s="109"/>
      <c r="AE359" s="109"/>
    </row>
    <row r="360" spans="1:31" ht="27.6" hidden="1" customHeight="1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95" t="s">
        <v>239</v>
      </c>
      <c r="S360" s="91" t="s">
        <v>8</v>
      </c>
      <c r="T360" s="45">
        <v>1</v>
      </c>
      <c r="U360" s="45">
        <v>0</v>
      </c>
      <c r="V360" s="45">
        <v>0</v>
      </c>
      <c r="W360" s="45">
        <v>0</v>
      </c>
      <c r="X360" s="45">
        <v>0</v>
      </c>
      <c r="Y360" s="45">
        <v>0</v>
      </c>
      <c r="Z360" s="45">
        <v>0</v>
      </c>
      <c r="AA360" s="53">
        <f t="shared" si="82"/>
        <v>1</v>
      </c>
      <c r="AB360" s="42">
        <v>2018</v>
      </c>
      <c r="AC360" s="9"/>
      <c r="AD360" s="109"/>
      <c r="AE360" s="109"/>
    </row>
    <row r="361" spans="1:31" ht="15.6" hidden="1" customHeight="1" x14ac:dyDescent="0.25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158" t="s">
        <v>240</v>
      </c>
      <c r="S361" s="68" t="s">
        <v>0</v>
      </c>
      <c r="T361" s="1">
        <f>SUM(T362:T365)</f>
        <v>979.3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4">
        <f t="shared" si="82"/>
        <v>979.3</v>
      </c>
      <c r="AB361" s="63">
        <v>2018</v>
      </c>
      <c r="AC361" s="9"/>
      <c r="AD361" s="109"/>
      <c r="AE361" s="109"/>
    </row>
    <row r="362" spans="1:31" ht="15.6" hidden="1" customHeight="1" x14ac:dyDescent="0.25">
      <c r="A362" s="58" t="s">
        <v>19</v>
      </c>
      <c r="B362" s="58" t="s">
        <v>19</v>
      </c>
      <c r="C362" s="58" t="s">
        <v>22</v>
      </c>
      <c r="D362" s="58" t="s">
        <v>19</v>
      </c>
      <c r="E362" s="58" t="s">
        <v>22</v>
      </c>
      <c r="F362" s="58" t="s">
        <v>19</v>
      </c>
      <c r="G362" s="58" t="s">
        <v>23</v>
      </c>
      <c r="H362" s="58" t="s">
        <v>20</v>
      </c>
      <c r="I362" s="58" t="s">
        <v>25</v>
      </c>
      <c r="J362" s="58" t="s">
        <v>19</v>
      </c>
      <c r="K362" s="58" t="s">
        <v>19</v>
      </c>
      <c r="L362" s="58" t="s">
        <v>21</v>
      </c>
      <c r="M362" s="58" t="s">
        <v>20</v>
      </c>
      <c r="N362" s="58" t="s">
        <v>19</v>
      </c>
      <c r="O362" s="58" t="s">
        <v>25</v>
      </c>
      <c r="P362" s="58" t="s">
        <v>23</v>
      </c>
      <c r="Q362" s="58" t="s">
        <v>46</v>
      </c>
      <c r="R362" s="159"/>
      <c r="S362" s="68" t="s">
        <v>0</v>
      </c>
      <c r="T362" s="1">
        <v>391.7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4">
        <f t="shared" si="82"/>
        <v>391.7</v>
      </c>
      <c r="AB362" s="63">
        <v>2018</v>
      </c>
      <c r="AC362" s="9"/>
      <c r="AD362" s="109"/>
      <c r="AE362" s="109"/>
    </row>
    <row r="363" spans="1:31" ht="15.6" hidden="1" customHeight="1" x14ac:dyDescent="0.25">
      <c r="A363" s="58" t="s">
        <v>19</v>
      </c>
      <c r="B363" s="58" t="s">
        <v>19</v>
      </c>
      <c r="C363" s="58" t="s">
        <v>22</v>
      </c>
      <c r="D363" s="58" t="s">
        <v>19</v>
      </c>
      <c r="E363" s="58" t="s">
        <v>22</v>
      </c>
      <c r="F363" s="58" t="s">
        <v>19</v>
      </c>
      <c r="G363" s="58" t="s">
        <v>23</v>
      </c>
      <c r="H363" s="58" t="s">
        <v>20</v>
      </c>
      <c r="I363" s="58" t="s">
        <v>25</v>
      </c>
      <c r="J363" s="58" t="s">
        <v>19</v>
      </c>
      <c r="K363" s="58" t="s">
        <v>19</v>
      </c>
      <c r="L363" s="58" t="s">
        <v>21</v>
      </c>
      <c r="M363" s="58" t="s">
        <v>38</v>
      </c>
      <c r="N363" s="58" t="s">
        <v>19</v>
      </c>
      <c r="O363" s="58" t="s">
        <v>44</v>
      </c>
      <c r="P363" s="58" t="s">
        <v>23</v>
      </c>
      <c r="Q363" s="58" t="s">
        <v>187</v>
      </c>
      <c r="R363" s="159"/>
      <c r="S363" s="68" t="s">
        <v>0</v>
      </c>
      <c r="T363" s="1">
        <v>30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64">
        <f t="shared" si="82"/>
        <v>30</v>
      </c>
      <c r="AB363" s="63">
        <v>2018</v>
      </c>
      <c r="AC363" s="9"/>
      <c r="AD363" s="109"/>
      <c r="AE363" s="109"/>
    </row>
    <row r="364" spans="1:31" ht="15.6" hidden="1" customHeight="1" x14ac:dyDescent="0.25">
      <c r="A364" s="58" t="s">
        <v>19</v>
      </c>
      <c r="B364" s="58" t="s">
        <v>19</v>
      </c>
      <c r="C364" s="58" t="s">
        <v>22</v>
      </c>
      <c r="D364" s="58" t="s">
        <v>19</v>
      </c>
      <c r="E364" s="58" t="s">
        <v>22</v>
      </c>
      <c r="F364" s="58" t="s">
        <v>19</v>
      </c>
      <c r="G364" s="58" t="s">
        <v>23</v>
      </c>
      <c r="H364" s="58" t="s">
        <v>20</v>
      </c>
      <c r="I364" s="58" t="s">
        <v>25</v>
      </c>
      <c r="J364" s="58" t="s">
        <v>19</v>
      </c>
      <c r="K364" s="58" t="s">
        <v>19</v>
      </c>
      <c r="L364" s="58" t="s">
        <v>21</v>
      </c>
      <c r="M364" s="58" t="s">
        <v>38</v>
      </c>
      <c r="N364" s="58" t="s">
        <v>19</v>
      </c>
      <c r="O364" s="58" t="s">
        <v>25</v>
      </c>
      <c r="P364" s="58" t="s">
        <v>23</v>
      </c>
      <c r="Q364" s="58" t="s">
        <v>47</v>
      </c>
      <c r="R364" s="159"/>
      <c r="S364" s="68" t="s">
        <v>0</v>
      </c>
      <c r="T364" s="1">
        <v>205.6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4">
        <f t="shared" si="82"/>
        <v>205.6</v>
      </c>
      <c r="AB364" s="63">
        <v>2018</v>
      </c>
      <c r="AC364" s="9"/>
      <c r="AD364" s="109"/>
      <c r="AE364" s="109"/>
    </row>
    <row r="365" spans="1:31" ht="15.6" hidden="1" customHeight="1" x14ac:dyDescent="0.25">
      <c r="A365" s="58" t="s">
        <v>19</v>
      </c>
      <c r="B365" s="58" t="s">
        <v>19</v>
      </c>
      <c r="C365" s="58" t="s">
        <v>22</v>
      </c>
      <c r="D365" s="58" t="s">
        <v>19</v>
      </c>
      <c r="E365" s="58" t="s">
        <v>22</v>
      </c>
      <c r="F365" s="58" t="s">
        <v>19</v>
      </c>
      <c r="G365" s="58" t="s">
        <v>23</v>
      </c>
      <c r="H365" s="58" t="s">
        <v>20</v>
      </c>
      <c r="I365" s="58" t="s">
        <v>25</v>
      </c>
      <c r="J365" s="58" t="s">
        <v>19</v>
      </c>
      <c r="K365" s="58" t="s">
        <v>19</v>
      </c>
      <c r="L365" s="58" t="s">
        <v>21</v>
      </c>
      <c r="M365" s="58" t="s">
        <v>38</v>
      </c>
      <c r="N365" s="58" t="s">
        <v>19</v>
      </c>
      <c r="O365" s="58" t="s">
        <v>25</v>
      </c>
      <c r="P365" s="58" t="s">
        <v>23</v>
      </c>
      <c r="Q365" s="58" t="s">
        <v>40</v>
      </c>
      <c r="R365" s="160"/>
      <c r="S365" s="68" t="s">
        <v>0</v>
      </c>
      <c r="T365" s="1">
        <v>352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4">
        <f t="shared" si="82"/>
        <v>352</v>
      </c>
      <c r="AB365" s="63">
        <v>2018</v>
      </c>
      <c r="AC365" s="9"/>
      <c r="AD365" s="109"/>
      <c r="AE365" s="109"/>
    </row>
    <row r="366" spans="1:31" ht="31.15" hidden="1" customHeight="1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85" t="s">
        <v>241</v>
      </c>
      <c r="S366" s="91" t="s">
        <v>184</v>
      </c>
      <c r="T366" s="3">
        <v>356.5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6">
        <f t="shared" si="82"/>
        <v>356.5</v>
      </c>
      <c r="AB366" s="42">
        <v>2018</v>
      </c>
      <c r="AC366" s="9"/>
      <c r="AD366" s="109"/>
      <c r="AE366" s="109"/>
    </row>
    <row r="367" spans="1:31" ht="15.6" hidden="1" customHeight="1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158" t="s">
        <v>242</v>
      </c>
      <c r="S367" s="68" t="s">
        <v>0</v>
      </c>
      <c r="T367" s="1">
        <f>SUM(T368:T371)</f>
        <v>695.4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4">
        <f t="shared" si="82"/>
        <v>695.4</v>
      </c>
      <c r="AB367" s="63">
        <v>2018</v>
      </c>
      <c r="AC367" s="9"/>
      <c r="AD367" s="109"/>
      <c r="AE367" s="109"/>
    </row>
    <row r="368" spans="1:31" ht="15.6" hidden="1" customHeight="1" x14ac:dyDescent="0.25">
      <c r="A368" s="58" t="s">
        <v>19</v>
      </c>
      <c r="B368" s="58" t="s">
        <v>19</v>
      </c>
      <c r="C368" s="58" t="s">
        <v>22</v>
      </c>
      <c r="D368" s="58" t="s">
        <v>19</v>
      </c>
      <c r="E368" s="58" t="s">
        <v>22</v>
      </c>
      <c r="F368" s="58" t="s">
        <v>19</v>
      </c>
      <c r="G368" s="58" t="s">
        <v>23</v>
      </c>
      <c r="H368" s="58" t="s">
        <v>20</v>
      </c>
      <c r="I368" s="58" t="s">
        <v>25</v>
      </c>
      <c r="J368" s="58" t="s">
        <v>19</v>
      </c>
      <c r="K368" s="58" t="s">
        <v>19</v>
      </c>
      <c r="L368" s="58" t="s">
        <v>21</v>
      </c>
      <c r="M368" s="58" t="s">
        <v>20</v>
      </c>
      <c r="N368" s="58" t="s">
        <v>19</v>
      </c>
      <c r="O368" s="58" t="s">
        <v>25</v>
      </c>
      <c r="P368" s="58" t="s">
        <v>23</v>
      </c>
      <c r="Q368" s="58" t="s">
        <v>46</v>
      </c>
      <c r="R368" s="159"/>
      <c r="S368" s="68" t="s">
        <v>0</v>
      </c>
      <c r="T368" s="1">
        <v>278.2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4">
        <f t="shared" si="82"/>
        <v>278.2</v>
      </c>
      <c r="AB368" s="63">
        <v>2018</v>
      </c>
      <c r="AC368" s="9"/>
      <c r="AD368" s="109"/>
      <c r="AE368" s="109"/>
    </row>
    <row r="369" spans="1:31" ht="15.6" hidden="1" customHeight="1" x14ac:dyDescent="0.25">
      <c r="A369" s="58" t="s">
        <v>19</v>
      </c>
      <c r="B369" s="58" t="s">
        <v>19</v>
      </c>
      <c r="C369" s="58" t="s">
        <v>22</v>
      </c>
      <c r="D369" s="58" t="s">
        <v>19</v>
      </c>
      <c r="E369" s="58" t="s">
        <v>22</v>
      </c>
      <c r="F369" s="58" t="s">
        <v>19</v>
      </c>
      <c r="G369" s="58" t="s">
        <v>23</v>
      </c>
      <c r="H369" s="58" t="s">
        <v>20</v>
      </c>
      <c r="I369" s="58" t="s">
        <v>25</v>
      </c>
      <c r="J369" s="58" t="s">
        <v>19</v>
      </c>
      <c r="K369" s="58" t="s">
        <v>19</v>
      </c>
      <c r="L369" s="58" t="s">
        <v>21</v>
      </c>
      <c r="M369" s="58" t="s">
        <v>38</v>
      </c>
      <c r="N369" s="58" t="s">
        <v>19</v>
      </c>
      <c r="O369" s="58" t="s">
        <v>44</v>
      </c>
      <c r="P369" s="58" t="s">
        <v>23</v>
      </c>
      <c r="Q369" s="58" t="s">
        <v>187</v>
      </c>
      <c r="R369" s="159"/>
      <c r="S369" s="68" t="s">
        <v>0</v>
      </c>
      <c r="T369" s="1">
        <v>20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64">
        <f t="shared" si="82"/>
        <v>20</v>
      </c>
      <c r="AB369" s="63">
        <v>2018</v>
      </c>
      <c r="AC369" s="9"/>
      <c r="AD369" s="109"/>
      <c r="AE369" s="109"/>
    </row>
    <row r="370" spans="1:31" ht="15.6" hidden="1" customHeight="1" x14ac:dyDescent="0.25">
      <c r="A370" s="58" t="s">
        <v>19</v>
      </c>
      <c r="B370" s="58" t="s">
        <v>19</v>
      </c>
      <c r="C370" s="58" t="s">
        <v>22</v>
      </c>
      <c r="D370" s="58" t="s">
        <v>19</v>
      </c>
      <c r="E370" s="58" t="s">
        <v>22</v>
      </c>
      <c r="F370" s="58" t="s">
        <v>19</v>
      </c>
      <c r="G370" s="58" t="s">
        <v>23</v>
      </c>
      <c r="H370" s="58" t="s">
        <v>20</v>
      </c>
      <c r="I370" s="58" t="s">
        <v>25</v>
      </c>
      <c r="J370" s="58" t="s">
        <v>19</v>
      </c>
      <c r="K370" s="58" t="s">
        <v>19</v>
      </c>
      <c r="L370" s="58" t="s">
        <v>21</v>
      </c>
      <c r="M370" s="58" t="s">
        <v>38</v>
      </c>
      <c r="N370" s="58" t="s">
        <v>19</v>
      </c>
      <c r="O370" s="58" t="s">
        <v>25</v>
      </c>
      <c r="P370" s="58" t="s">
        <v>23</v>
      </c>
      <c r="Q370" s="58" t="s">
        <v>47</v>
      </c>
      <c r="R370" s="159"/>
      <c r="S370" s="68" t="s">
        <v>0</v>
      </c>
      <c r="T370" s="1">
        <v>104.3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4">
        <f t="shared" si="82"/>
        <v>104.3</v>
      </c>
      <c r="AB370" s="63">
        <v>2018</v>
      </c>
      <c r="AC370" s="9"/>
      <c r="AD370" s="109"/>
      <c r="AE370" s="109"/>
    </row>
    <row r="371" spans="1:31" ht="15.6" hidden="1" customHeight="1" x14ac:dyDescent="0.25">
      <c r="A371" s="58" t="s">
        <v>19</v>
      </c>
      <c r="B371" s="58" t="s">
        <v>19</v>
      </c>
      <c r="C371" s="58" t="s">
        <v>22</v>
      </c>
      <c r="D371" s="58" t="s">
        <v>19</v>
      </c>
      <c r="E371" s="58" t="s">
        <v>22</v>
      </c>
      <c r="F371" s="58" t="s">
        <v>19</v>
      </c>
      <c r="G371" s="58" t="s">
        <v>23</v>
      </c>
      <c r="H371" s="58" t="s">
        <v>20</v>
      </c>
      <c r="I371" s="58" t="s">
        <v>25</v>
      </c>
      <c r="J371" s="58" t="s">
        <v>19</v>
      </c>
      <c r="K371" s="58" t="s">
        <v>19</v>
      </c>
      <c r="L371" s="58" t="s">
        <v>21</v>
      </c>
      <c r="M371" s="58" t="s">
        <v>38</v>
      </c>
      <c r="N371" s="58" t="s">
        <v>19</v>
      </c>
      <c r="O371" s="58" t="s">
        <v>25</v>
      </c>
      <c r="P371" s="58" t="s">
        <v>23</v>
      </c>
      <c r="Q371" s="58" t="s">
        <v>40</v>
      </c>
      <c r="R371" s="160"/>
      <c r="S371" s="68" t="s">
        <v>0</v>
      </c>
      <c r="T371" s="1">
        <v>292.89999999999998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4">
        <f t="shared" si="82"/>
        <v>292.89999999999998</v>
      </c>
      <c r="AB371" s="63">
        <v>2018</v>
      </c>
      <c r="AC371" s="9"/>
      <c r="AD371" s="109"/>
      <c r="AE371" s="109"/>
    </row>
    <row r="372" spans="1:31" ht="31.15" hidden="1" customHeight="1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83" t="s">
        <v>243</v>
      </c>
      <c r="S372" s="96" t="s">
        <v>189</v>
      </c>
      <c r="T372" s="3">
        <v>190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6">
        <f t="shared" si="82"/>
        <v>190</v>
      </c>
      <c r="AB372" s="42">
        <v>2018</v>
      </c>
      <c r="AC372" s="9"/>
      <c r="AD372" s="109"/>
      <c r="AE372" s="109"/>
    </row>
    <row r="373" spans="1:31" ht="15.6" hidden="1" customHeight="1" x14ac:dyDescent="0.25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158" t="s">
        <v>244</v>
      </c>
      <c r="S373" s="68" t="s">
        <v>0</v>
      </c>
      <c r="T373" s="1">
        <f>SUM(T374:T378)</f>
        <v>836.4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4">
        <f t="shared" si="82"/>
        <v>836.4</v>
      </c>
      <c r="AB373" s="63">
        <v>2018</v>
      </c>
      <c r="AC373" s="9"/>
      <c r="AD373" s="109"/>
      <c r="AE373" s="109"/>
    </row>
    <row r="374" spans="1:31" ht="15.6" hidden="1" customHeight="1" x14ac:dyDescent="0.25">
      <c r="A374" s="58" t="s">
        <v>19</v>
      </c>
      <c r="B374" s="58" t="s">
        <v>19</v>
      </c>
      <c r="C374" s="58" t="s">
        <v>22</v>
      </c>
      <c r="D374" s="58" t="s">
        <v>19</v>
      </c>
      <c r="E374" s="58" t="s">
        <v>22</v>
      </c>
      <c r="F374" s="58" t="s">
        <v>19</v>
      </c>
      <c r="G374" s="58" t="s">
        <v>23</v>
      </c>
      <c r="H374" s="58" t="s">
        <v>20</v>
      </c>
      <c r="I374" s="58" t="s">
        <v>25</v>
      </c>
      <c r="J374" s="58" t="s">
        <v>19</v>
      </c>
      <c r="K374" s="58" t="s">
        <v>19</v>
      </c>
      <c r="L374" s="58" t="s">
        <v>21</v>
      </c>
      <c r="M374" s="58" t="s">
        <v>20</v>
      </c>
      <c r="N374" s="58" t="s">
        <v>19</v>
      </c>
      <c r="O374" s="58" t="s">
        <v>25</v>
      </c>
      <c r="P374" s="58" t="s">
        <v>23</v>
      </c>
      <c r="Q374" s="58" t="s">
        <v>46</v>
      </c>
      <c r="R374" s="159"/>
      <c r="S374" s="68" t="s">
        <v>0</v>
      </c>
      <c r="T374" s="1">
        <v>334.5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4">
        <f t="shared" si="82"/>
        <v>334.5</v>
      </c>
      <c r="AB374" s="63">
        <v>2018</v>
      </c>
      <c r="AC374" s="9"/>
      <c r="AD374" s="109"/>
      <c r="AE374" s="109"/>
    </row>
    <row r="375" spans="1:31" ht="15.6" hidden="1" customHeight="1" x14ac:dyDescent="0.25">
      <c r="A375" s="58" t="s">
        <v>19</v>
      </c>
      <c r="B375" s="58" t="s">
        <v>19</v>
      </c>
      <c r="C375" s="58" t="s">
        <v>22</v>
      </c>
      <c r="D375" s="58" t="s">
        <v>19</v>
      </c>
      <c r="E375" s="58" t="s">
        <v>22</v>
      </c>
      <c r="F375" s="58" t="s">
        <v>19</v>
      </c>
      <c r="G375" s="58" t="s">
        <v>23</v>
      </c>
      <c r="H375" s="58" t="s">
        <v>20</v>
      </c>
      <c r="I375" s="58" t="s">
        <v>25</v>
      </c>
      <c r="J375" s="58" t="s">
        <v>19</v>
      </c>
      <c r="K375" s="58" t="s">
        <v>19</v>
      </c>
      <c r="L375" s="58" t="s">
        <v>21</v>
      </c>
      <c r="M375" s="58" t="s">
        <v>20</v>
      </c>
      <c r="N375" s="58" t="s">
        <v>19</v>
      </c>
      <c r="O375" s="58" t="s">
        <v>44</v>
      </c>
      <c r="P375" s="58" t="s">
        <v>23</v>
      </c>
      <c r="Q375" s="58" t="s">
        <v>187</v>
      </c>
      <c r="R375" s="159"/>
      <c r="S375" s="68" t="s">
        <v>0</v>
      </c>
      <c r="T375" s="1">
        <v>30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64">
        <f>SUM(T375:Y375)</f>
        <v>30</v>
      </c>
      <c r="AB375" s="63">
        <v>2018</v>
      </c>
      <c r="AC375" s="9"/>
      <c r="AD375" s="109"/>
      <c r="AE375" s="109"/>
    </row>
    <row r="376" spans="1:31" ht="15.6" hidden="1" customHeight="1" x14ac:dyDescent="0.25">
      <c r="A376" s="58" t="s">
        <v>19</v>
      </c>
      <c r="B376" s="58" t="s">
        <v>19</v>
      </c>
      <c r="C376" s="58" t="s">
        <v>22</v>
      </c>
      <c r="D376" s="58" t="s">
        <v>19</v>
      </c>
      <c r="E376" s="58" t="s">
        <v>22</v>
      </c>
      <c r="F376" s="58" t="s">
        <v>19</v>
      </c>
      <c r="G376" s="58" t="s">
        <v>23</v>
      </c>
      <c r="H376" s="58" t="s">
        <v>20</v>
      </c>
      <c r="I376" s="58" t="s">
        <v>25</v>
      </c>
      <c r="J376" s="58" t="s">
        <v>19</v>
      </c>
      <c r="K376" s="58" t="s">
        <v>19</v>
      </c>
      <c r="L376" s="58" t="s">
        <v>21</v>
      </c>
      <c r="M376" s="58" t="s">
        <v>38</v>
      </c>
      <c r="N376" s="58" t="s">
        <v>19</v>
      </c>
      <c r="O376" s="58" t="s">
        <v>25</v>
      </c>
      <c r="P376" s="58" t="s">
        <v>23</v>
      </c>
      <c r="Q376" s="58" t="s">
        <v>47</v>
      </c>
      <c r="R376" s="159"/>
      <c r="S376" s="68" t="s">
        <v>0</v>
      </c>
      <c r="T376" s="1">
        <v>16.399999999999999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4">
        <f t="shared" si="82"/>
        <v>16.399999999999999</v>
      </c>
      <c r="AB376" s="63">
        <v>2018</v>
      </c>
      <c r="AC376" s="9"/>
      <c r="AD376" s="109"/>
      <c r="AE376" s="109"/>
    </row>
    <row r="377" spans="1:31" ht="15.6" hidden="1" customHeight="1" x14ac:dyDescent="0.25">
      <c r="A377" s="58" t="s">
        <v>19</v>
      </c>
      <c r="B377" s="58" t="s">
        <v>19</v>
      </c>
      <c r="C377" s="58" t="s">
        <v>22</v>
      </c>
      <c r="D377" s="58" t="s">
        <v>19</v>
      </c>
      <c r="E377" s="58" t="s">
        <v>22</v>
      </c>
      <c r="F377" s="58" t="s">
        <v>19</v>
      </c>
      <c r="G377" s="58" t="s">
        <v>23</v>
      </c>
      <c r="H377" s="58" t="s">
        <v>20</v>
      </c>
      <c r="I377" s="58" t="s">
        <v>25</v>
      </c>
      <c r="J377" s="58" t="s">
        <v>19</v>
      </c>
      <c r="K377" s="58" t="s">
        <v>19</v>
      </c>
      <c r="L377" s="58" t="s">
        <v>21</v>
      </c>
      <c r="M377" s="58" t="s">
        <v>38</v>
      </c>
      <c r="N377" s="58" t="s">
        <v>19</v>
      </c>
      <c r="O377" s="58" t="s">
        <v>25</v>
      </c>
      <c r="P377" s="58" t="s">
        <v>23</v>
      </c>
      <c r="Q377" s="58" t="s">
        <v>47</v>
      </c>
      <c r="R377" s="159"/>
      <c r="S377" s="68" t="s">
        <v>0</v>
      </c>
      <c r="T377" s="1">
        <v>125.5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4">
        <f t="shared" si="82"/>
        <v>125.5</v>
      </c>
      <c r="AB377" s="63">
        <v>2018</v>
      </c>
      <c r="AC377" s="9"/>
      <c r="AD377" s="109"/>
      <c r="AE377" s="109"/>
    </row>
    <row r="378" spans="1:31" ht="15.6" hidden="1" customHeight="1" x14ac:dyDescent="0.25">
      <c r="A378" s="58" t="s">
        <v>19</v>
      </c>
      <c r="B378" s="58" t="s">
        <v>19</v>
      </c>
      <c r="C378" s="58" t="s">
        <v>22</v>
      </c>
      <c r="D378" s="58" t="s">
        <v>19</v>
      </c>
      <c r="E378" s="58" t="s">
        <v>22</v>
      </c>
      <c r="F378" s="58" t="s">
        <v>19</v>
      </c>
      <c r="G378" s="58" t="s">
        <v>23</v>
      </c>
      <c r="H378" s="58" t="s">
        <v>20</v>
      </c>
      <c r="I378" s="58" t="s">
        <v>25</v>
      </c>
      <c r="J378" s="58" t="s">
        <v>19</v>
      </c>
      <c r="K378" s="58" t="s">
        <v>19</v>
      </c>
      <c r="L378" s="58" t="s">
        <v>21</v>
      </c>
      <c r="M378" s="58" t="s">
        <v>38</v>
      </c>
      <c r="N378" s="58" t="s">
        <v>19</v>
      </c>
      <c r="O378" s="58" t="s">
        <v>25</v>
      </c>
      <c r="P378" s="58" t="s">
        <v>23</v>
      </c>
      <c r="Q378" s="58" t="s">
        <v>40</v>
      </c>
      <c r="R378" s="160"/>
      <c r="S378" s="68" t="s">
        <v>0</v>
      </c>
      <c r="T378" s="1">
        <v>330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4">
        <f t="shared" si="82"/>
        <v>330</v>
      </c>
      <c r="AB378" s="63">
        <v>2018</v>
      </c>
      <c r="AC378" s="9"/>
      <c r="AD378" s="109"/>
      <c r="AE378" s="109"/>
    </row>
    <row r="379" spans="1:31" ht="27.6" hidden="1" customHeight="1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95" t="s">
        <v>245</v>
      </c>
      <c r="S379" s="91" t="s">
        <v>8</v>
      </c>
      <c r="T379" s="45">
        <v>1</v>
      </c>
      <c r="U379" s="45">
        <v>0</v>
      </c>
      <c r="V379" s="45">
        <v>0</v>
      </c>
      <c r="W379" s="45">
        <v>0</v>
      </c>
      <c r="X379" s="45">
        <v>0</v>
      </c>
      <c r="Y379" s="45">
        <v>0</v>
      </c>
      <c r="Z379" s="45">
        <v>0</v>
      </c>
      <c r="AA379" s="6">
        <f t="shared" si="82"/>
        <v>1</v>
      </c>
      <c r="AB379" s="42">
        <v>2018</v>
      </c>
      <c r="AC379" s="9"/>
      <c r="AD379" s="109"/>
      <c r="AE379" s="109"/>
    </row>
    <row r="380" spans="1:31" ht="15.6" customHeight="1" x14ac:dyDescent="0.25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158" t="s">
        <v>143</v>
      </c>
      <c r="S380" s="68" t="s">
        <v>0</v>
      </c>
      <c r="T380" s="64">
        <f>SUM(T381:T383)</f>
        <v>6913.9150000000009</v>
      </c>
      <c r="U380" s="64">
        <f>SUM(U381:U385)</f>
        <v>3964.1</v>
      </c>
      <c r="V380" s="64">
        <v>0</v>
      </c>
      <c r="W380" s="64">
        <v>0</v>
      </c>
      <c r="X380" s="64">
        <v>0</v>
      </c>
      <c r="Y380" s="64">
        <v>0</v>
      </c>
      <c r="Z380" s="64">
        <v>0</v>
      </c>
      <c r="AA380" s="64">
        <f t="shared" ref="AA380:AA388" si="83">SUM(T380:Y380)</f>
        <v>10878.015000000001</v>
      </c>
      <c r="AB380" s="63">
        <v>2018</v>
      </c>
      <c r="AC380" s="133"/>
      <c r="AD380" s="109"/>
      <c r="AE380" s="109"/>
    </row>
    <row r="381" spans="1:31" x14ac:dyDescent="0.25">
      <c r="A381" s="58" t="s">
        <v>19</v>
      </c>
      <c r="B381" s="58" t="s">
        <v>19</v>
      </c>
      <c r="C381" s="58" t="s">
        <v>26</v>
      </c>
      <c r="D381" s="58" t="s">
        <v>19</v>
      </c>
      <c r="E381" s="58" t="s">
        <v>22</v>
      </c>
      <c r="F381" s="58" t="s">
        <v>19</v>
      </c>
      <c r="G381" s="58" t="s">
        <v>23</v>
      </c>
      <c r="H381" s="58" t="s">
        <v>20</v>
      </c>
      <c r="I381" s="58" t="s">
        <v>25</v>
      </c>
      <c r="J381" s="58" t="s">
        <v>19</v>
      </c>
      <c r="K381" s="58" t="s">
        <v>19</v>
      </c>
      <c r="L381" s="58" t="s">
        <v>21</v>
      </c>
      <c r="M381" s="58" t="s">
        <v>20</v>
      </c>
      <c r="N381" s="58" t="s">
        <v>19</v>
      </c>
      <c r="O381" s="58" t="s">
        <v>25</v>
      </c>
      <c r="P381" s="58" t="s">
        <v>23</v>
      </c>
      <c r="Q381" s="58" t="s">
        <v>46</v>
      </c>
      <c r="R381" s="159"/>
      <c r="S381" s="68" t="s">
        <v>0</v>
      </c>
      <c r="T381" s="1">
        <f>T390+T396+T402+T408+T414+T420+T425+T431+T437+T443+T449</f>
        <v>2886.915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4">
        <f t="shared" si="83"/>
        <v>2886.915</v>
      </c>
      <c r="AB381" s="63">
        <v>2018</v>
      </c>
      <c r="AC381" s="133"/>
      <c r="AD381" s="109"/>
      <c r="AE381" s="109"/>
    </row>
    <row r="382" spans="1:31" x14ac:dyDescent="0.25">
      <c r="A382" s="58" t="s">
        <v>19</v>
      </c>
      <c r="B382" s="58" t="s">
        <v>19</v>
      </c>
      <c r="C382" s="58" t="s">
        <v>26</v>
      </c>
      <c r="D382" s="58" t="s">
        <v>19</v>
      </c>
      <c r="E382" s="58" t="s">
        <v>22</v>
      </c>
      <c r="F382" s="58" t="s">
        <v>19</v>
      </c>
      <c r="G382" s="58" t="s">
        <v>23</v>
      </c>
      <c r="H382" s="58" t="s">
        <v>20</v>
      </c>
      <c r="I382" s="58" t="s">
        <v>25</v>
      </c>
      <c r="J382" s="58" t="s">
        <v>19</v>
      </c>
      <c r="K382" s="58" t="s">
        <v>19</v>
      </c>
      <c r="L382" s="58" t="s">
        <v>21</v>
      </c>
      <c r="M382" s="58" t="s">
        <v>38</v>
      </c>
      <c r="N382" s="58" t="s">
        <v>19</v>
      </c>
      <c r="O382" s="58" t="s">
        <v>25</v>
      </c>
      <c r="P382" s="58" t="s">
        <v>23</v>
      </c>
      <c r="Q382" s="58" t="s">
        <v>47</v>
      </c>
      <c r="R382" s="159"/>
      <c r="S382" s="68" t="s">
        <v>0</v>
      </c>
      <c r="T382" s="1">
        <f>T391+T392+T397+T398+T403+T404+T409+T410+T415+T416+T421+T426+T427+T432+T433+T438+T439+T444+T445+T450+T451</f>
        <v>1641.4</v>
      </c>
      <c r="U382" s="1">
        <v>868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64">
        <f t="shared" si="83"/>
        <v>2509.4</v>
      </c>
      <c r="AB382" s="63">
        <v>2018</v>
      </c>
      <c r="AC382" s="133"/>
      <c r="AD382" s="109"/>
      <c r="AE382" s="109"/>
    </row>
    <row r="383" spans="1:31" x14ac:dyDescent="0.25">
      <c r="A383" s="58" t="s">
        <v>19</v>
      </c>
      <c r="B383" s="58" t="s">
        <v>19</v>
      </c>
      <c r="C383" s="58" t="s">
        <v>26</v>
      </c>
      <c r="D383" s="58" t="s">
        <v>19</v>
      </c>
      <c r="E383" s="58" t="s">
        <v>22</v>
      </c>
      <c r="F383" s="58" t="s">
        <v>19</v>
      </c>
      <c r="G383" s="58" t="s">
        <v>23</v>
      </c>
      <c r="H383" s="58" t="s">
        <v>20</v>
      </c>
      <c r="I383" s="58" t="s">
        <v>25</v>
      </c>
      <c r="J383" s="58" t="s">
        <v>19</v>
      </c>
      <c r="K383" s="58" t="s">
        <v>19</v>
      </c>
      <c r="L383" s="58" t="s">
        <v>21</v>
      </c>
      <c r="M383" s="58" t="s">
        <v>38</v>
      </c>
      <c r="N383" s="58" t="s">
        <v>19</v>
      </c>
      <c r="O383" s="58" t="s">
        <v>25</v>
      </c>
      <c r="P383" s="58" t="s">
        <v>23</v>
      </c>
      <c r="Q383" s="58" t="s">
        <v>40</v>
      </c>
      <c r="R383" s="159"/>
      <c r="S383" s="68" t="s">
        <v>0</v>
      </c>
      <c r="T383" s="1">
        <v>2385.6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64">
        <f t="shared" si="83"/>
        <v>2385.6</v>
      </c>
      <c r="AB383" s="63">
        <v>2019</v>
      </c>
      <c r="AC383" s="133"/>
      <c r="AD383" s="109"/>
      <c r="AE383" s="109"/>
    </row>
    <row r="384" spans="1:31" x14ac:dyDescent="0.25">
      <c r="A384" s="58" t="s">
        <v>19</v>
      </c>
      <c r="B384" s="58" t="s">
        <v>19</v>
      </c>
      <c r="C384" s="58" t="s">
        <v>26</v>
      </c>
      <c r="D384" s="58" t="s">
        <v>19</v>
      </c>
      <c r="E384" s="58" t="s">
        <v>19</v>
      </c>
      <c r="F384" s="58" t="s">
        <v>19</v>
      </c>
      <c r="G384" s="58" t="s">
        <v>19</v>
      </c>
      <c r="H384" s="58" t="s">
        <v>20</v>
      </c>
      <c r="I384" s="58" t="s">
        <v>25</v>
      </c>
      <c r="J384" s="58" t="s">
        <v>19</v>
      </c>
      <c r="K384" s="58" t="s">
        <v>19</v>
      </c>
      <c r="L384" s="58" t="s">
        <v>21</v>
      </c>
      <c r="M384" s="58" t="s">
        <v>20</v>
      </c>
      <c r="N384" s="58" t="s">
        <v>19</v>
      </c>
      <c r="O384" s="58" t="s">
        <v>25</v>
      </c>
      <c r="P384" s="58" t="s">
        <v>23</v>
      </c>
      <c r="Q384" s="58" t="s">
        <v>19</v>
      </c>
      <c r="R384" s="159"/>
      <c r="S384" s="68" t="s">
        <v>0</v>
      </c>
      <c r="T384" s="1">
        <v>0</v>
      </c>
      <c r="U384" s="1">
        <v>1977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4">
        <f t="shared" si="83"/>
        <v>1977</v>
      </c>
      <c r="AB384" s="63">
        <v>2019</v>
      </c>
      <c r="AC384" s="133"/>
      <c r="AD384" s="109"/>
      <c r="AE384" s="109"/>
    </row>
    <row r="385" spans="1:31" x14ac:dyDescent="0.25">
      <c r="A385" s="58" t="s">
        <v>19</v>
      </c>
      <c r="B385" s="58" t="s">
        <v>19</v>
      </c>
      <c r="C385" s="58" t="s">
        <v>26</v>
      </c>
      <c r="D385" s="58" t="s">
        <v>19</v>
      </c>
      <c r="E385" s="58" t="s">
        <v>19</v>
      </c>
      <c r="F385" s="58" t="s">
        <v>19</v>
      </c>
      <c r="G385" s="58" t="s">
        <v>19</v>
      </c>
      <c r="H385" s="58" t="s">
        <v>20</v>
      </c>
      <c r="I385" s="58" t="s">
        <v>25</v>
      </c>
      <c r="J385" s="58" t="s">
        <v>19</v>
      </c>
      <c r="K385" s="58" t="s">
        <v>19</v>
      </c>
      <c r="L385" s="58" t="s">
        <v>21</v>
      </c>
      <c r="M385" s="58" t="s">
        <v>38</v>
      </c>
      <c r="N385" s="58" t="s">
        <v>19</v>
      </c>
      <c r="O385" s="58" t="s">
        <v>25</v>
      </c>
      <c r="P385" s="58" t="s">
        <v>23</v>
      </c>
      <c r="Q385" s="58" t="s">
        <v>19</v>
      </c>
      <c r="R385" s="160"/>
      <c r="S385" s="68" t="s">
        <v>0</v>
      </c>
      <c r="T385" s="1">
        <v>0</v>
      </c>
      <c r="U385" s="1">
        <v>1119.0999999999999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4">
        <f t="shared" ref="AA385" si="84">SUM(T385:Y385)</f>
        <v>1119.0999999999999</v>
      </c>
      <c r="AB385" s="63">
        <v>2019</v>
      </c>
      <c r="AC385" s="133"/>
      <c r="AD385" s="109"/>
      <c r="AE385" s="109"/>
    </row>
    <row r="386" spans="1:31" ht="47.25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85" t="s">
        <v>339</v>
      </c>
      <c r="S386" s="67" t="s">
        <v>53</v>
      </c>
      <c r="T386" s="3">
        <v>1.5</v>
      </c>
      <c r="U386" s="3">
        <v>0.8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6">
        <f t="shared" si="83"/>
        <v>2.2999999999999998</v>
      </c>
      <c r="AB386" s="42">
        <v>2019</v>
      </c>
      <c r="AC386" s="137"/>
      <c r="AD386" s="109"/>
      <c r="AE386" s="109"/>
    </row>
    <row r="387" spans="1:31" ht="46.9" hidden="1" customHeight="1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85" t="s">
        <v>191</v>
      </c>
      <c r="S387" s="91" t="s">
        <v>190</v>
      </c>
      <c r="T387" s="3"/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6">
        <f t="shared" si="83"/>
        <v>0</v>
      </c>
      <c r="AB387" s="42">
        <v>2018</v>
      </c>
      <c r="AC387" s="137"/>
      <c r="AD387" s="109"/>
      <c r="AE387" s="109"/>
    </row>
    <row r="388" spans="1:31" ht="47.25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85" t="s">
        <v>340</v>
      </c>
      <c r="S388" s="91" t="s">
        <v>51</v>
      </c>
      <c r="T388" s="45">
        <v>10</v>
      </c>
      <c r="U388" s="45">
        <v>5</v>
      </c>
      <c r="V388" s="45">
        <v>0</v>
      </c>
      <c r="W388" s="45">
        <v>0</v>
      </c>
      <c r="X388" s="45">
        <v>0</v>
      </c>
      <c r="Y388" s="45">
        <v>0</v>
      </c>
      <c r="Z388" s="45">
        <v>0</v>
      </c>
      <c r="AA388" s="53">
        <f t="shared" si="83"/>
        <v>15</v>
      </c>
      <c r="AB388" s="42">
        <v>2019</v>
      </c>
      <c r="AC388" s="137"/>
      <c r="AD388" s="109"/>
      <c r="AE388" s="109"/>
    </row>
    <row r="389" spans="1:31" ht="15.6" hidden="1" customHeight="1" x14ac:dyDescent="0.25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158" t="s">
        <v>248</v>
      </c>
      <c r="S389" s="68" t="s">
        <v>0</v>
      </c>
      <c r="T389" s="1">
        <f>SUM(T390:T393)</f>
        <v>721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/>
      <c r="AA389" s="64">
        <f t="shared" ref="AA389:AA452" si="85">SUM(T389:Y389)</f>
        <v>721</v>
      </c>
      <c r="AB389" s="63">
        <v>2018</v>
      </c>
      <c r="AC389" s="9"/>
      <c r="AD389" s="109"/>
      <c r="AE389" s="109"/>
    </row>
    <row r="390" spans="1:31" ht="15.6" hidden="1" customHeight="1" x14ac:dyDescent="0.25">
      <c r="A390" s="58" t="s">
        <v>19</v>
      </c>
      <c r="B390" s="58" t="s">
        <v>19</v>
      </c>
      <c r="C390" s="58" t="s">
        <v>26</v>
      </c>
      <c r="D390" s="58" t="s">
        <v>19</v>
      </c>
      <c r="E390" s="58" t="s">
        <v>22</v>
      </c>
      <c r="F390" s="58" t="s">
        <v>19</v>
      </c>
      <c r="G390" s="58" t="s">
        <v>23</v>
      </c>
      <c r="H390" s="58" t="s">
        <v>20</v>
      </c>
      <c r="I390" s="58" t="s">
        <v>25</v>
      </c>
      <c r="J390" s="58" t="s">
        <v>19</v>
      </c>
      <c r="K390" s="58" t="s">
        <v>19</v>
      </c>
      <c r="L390" s="58" t="s">
        <v>21</v>
      </c>
      <c r="M390" s="58" t="s">
        <v>20</v>
      </c>
      <c r="N390" s="58" t="s">
        <v>19</v>
      </c>
      <c r="O390" s="58" t="s">
        <v>25</v>
      </c>
      <c r="P390" s="58" t="s">
        <v>23</v>
      </c>
      <c r="Q390" s="58" t="s">
        <v>46</v>
      </c>
      <c r="R390" s="159"/>
      <c r="S390" s="68" t="s">
        <v>0</v>
      </c>
      <c r="T390" s="1">
        <v>288.39999999999998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/>
      <c r="AA390" s="64">
        <f t="shared" si="85"/>
        <v>288.39999999999998</v>
      </c>
      <c r="AB390" s="63">
        <v>2018</v>
      </c>
      <c r="AC390" s="9"/>
      <c r="AD390" s="109"/>
      <c r="AE390" s="109"/>
    </row>
    <row r="391" spans="1:31" ht="15.6" hidden="1" customHeight="1" x14ac:dyDescent="0.25">
      <c r="A391" s="58" t="s">
        <v>19</v>
      </c>
      <c r="B391" s="58" t="s">
        <v>19</v>
      </c>
      <c r="C391" s="58" t="s">
        <v>26</v>
      </c>
      <c r="D391" s="58" t="s">
        <v>19</v>
      </c>
      <c r="E391" s="58" t="s">
        <v>22</v>
      </c>
      <c r="F391" s="58" t="s">
        <v>19</v>
      </c>
      <c r="G391" s="58" t="s">
        <v>23</v>
      </c>
      <c r="H391" s="58" t="s">
        <v>20</v>
      </c>
      <c r="I391" s="58" t="s">
        <v>25</v>
      </c>
      <c r="J391" s="58" t="s">
        <v>19</v>
      </c>
      <c r="K391" s="58" t="s">
        <v>19</v>
      </c>
      <c r="L391" s="58" t="s">
        <v>21</v>
      </c>
      <c r="M391" s="58" t="s">
        <v>38</v>
      </c>
      <c r="N391" s="58" t="s">
        <v>19</v>
      </c>
      <c r="O391" s="58" t="s">
        <v>25</v>
      </c>
      <c r="P391" s="58" t="s">
        <v>23</v>
      </c>
      <c r="Q391" s="58" t="s">
        <v>47</v>
      </c>
      <c r="R391" s="159"/>
      <c r="S391" s="68" t="s">
        <v>0</v>
      </c>
      <c r="T391" s="1">
        <v>6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/>
      <c r="AA391" s="64">
        <f t="shared" si="85"/>
        <v>6</v>
      </c>
      <c r="AB391" s="63">
        <v>2018</v>
      </c>
      <c r="AC391" s="9"/>
      <c r="AD391" s="109"/>
      <c r="AE391" s="109"/>
    </row>
    <row r="392" spans="1:31" ht="15.6" hidden="1" customHeight="1" x14ac:dyDescent="0.25">
      <c r="A392" s="58" t="s">
        <v>19</v>
      </c>
      <c r="B392" s="58" t="s">
        <v>19</v>
      </c>
      <c r="C392" s="58" t="s">
        <v>26</v>
      </c>
      <c r="D392" s="58" t="s">
        <v>19</v>
      </c>
      <c r="E392" s="58" t="s">
        <v>22</v>
      </c>
      <c r="F392" s="58" t="s">
        <v>19</v>
      </c>
      <c r="G392" s="58" t="s">
        <v>23</v>
      </c>
      <c r="H392" s="58" t="s">
        <v>20</v>
      </c>
      <c r="I392" s="58" t="s">
        <v>25</v>
      </c>
      <c r="J392" s="58" t="s">
        <v>19</v>
      </c>
      <c r="K392" s="58" t="s">
        <v>19</v>
      </c>
      <c r="L392" s="58" t="s">
        <v>21</v>
      </c>
      <c r="M392" s="58" t="s">
        <v>38</v>
      </c>
      <c r="N392" s="58" t="s">
        <v>19</v>
      </c>
      <c r="O392" s="58" t="s">
        <v>25</v>
      </c>
      <c r="P392" s="58" t="s">
        <v>23</v>
      </c>
      <c r="Q392" s="58" t="s">
        <v>47</v>
      </c>
      <c r="R392" s="159"/>
      <c r="S392" s="68" t="s">
        <v>0</v>
      </c>
      <c r="T392" s="1">
        <v>151.4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4">
        <f t="shared" si="85"/>
        <v>151.4</v>
      </c>
      <c r="AB392" s="63">
        <v>2018</v>
      </c>
      <c r="AC392" s="9"/>
      <c r="AD392" s="109"/>
      <c r="AE392" s="109"/>
    </row>
    <row r="393" spans="1:31" ht="15.6" hidden="1" customHeight="1" x14ac:dyDescent="0.25">
      <c r="A393" s="58" t="s">
        <v>19</v>
      </c>
      <c r="B393" s="58" t="s">
        <v>19</v>
      </c>
      <c r="C393" s="58" t="s">
        <v>26</v>
      </c>
      <c r="D393" s="58" t="s">
        <v>19</v>
      </c>
      <c r="E393" s="58" t="s">
        <v>22</v>
      </c>
      <c r="F393" s="58" t="s">
        <v>19</v>
      </c>
      <c r="G393" s="58" t="s">
        <v>23</v>
      </c>
      <c r="H393" s="58" t="s">
        <v>20</v>
      </c>
      <c r="I393" s="58" t="s">
        <v>25</v>
      </c>
      <c r="J393" s="58" t="s">
        <v>19</v>
      </c>
      <c r="K393" s="58" t="s">
        <v>19</v>
      </c>
      <c r="L393" s="58" t="s">
        <v>21</v>
      </c>
      <c r="M393" s="58" t="s">
        <v>38</v>
      </c>
      <c r="N393" s="58" t="s">
        <v>19</v>
      </c>
      <c r="O393" s="58" t="s">
        <v>25</v>
      </c>
      <c r="P393" s="58" t="s">
        <v>23</v>
      </c>
      <c r="Q393" s="58" t="s">
        <v>40</v>
      </c>
      <c r="R393" s="160"/>
      <c r="S393" s="68" t="s">
        <v>0</v>
      </c>
      <c r="T393" s="1">
        <v>275.2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4">
        <f t="shared" si="85"/>
        <v>275.2</v>
      </c>
      <c r="AB393" s="63">
        <v>2018</v>
      </c>
      <c r="AC393" s="9"/>
      <c r="AD393" s="109"/>
      <c r="AE393" s="109"/>
    </row>
    <row r="394" spans="1:31" ht="31.15" hidden="1" customHeight="1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85" t="s">
        <v>249</v>
      </c>
      <c r="S394" s="91" t="s">
        <v>8</v>
      </c>
      <c r="T394" s="45">
        <v>1</v>
      </c>
      <c r="U394" s="45">
        <v>0</v>
      </c>
      <c r="V394" s="45">
        <v>0</v>
      </c>
      <c r="W394" s="45">
        <v>0</v>
      </c>
      <c r="X394" s="45">
        <v>0</v>
      </c>
      <c r="Y394" s="45">
        <v>0</v>
      </c>
      <c r="Z394" s="45"/>
      <c r="AA394" s="53">
        <f t="shared" si="85"/>
        <v>1</v>
      </c>
      <c r="AB394" s="42">
        <v>2018</v>
      </c>
      <c r="AC394" s="9"/>
      <c r="AD394" s="109"/>
      <c r="AE394" s="109"/>
    </row>
    <row r="395" spans="1:31" ht="15.6" hidden="1" customHeight="1" x14ac:dyDescent="0.2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158" t="s">
        <v>250</v>
      </c>
      <c r="S395" s="68" t="s">
        <v>0</v>
      </c>
      <c r="T395" s="1">
        <f>SUM(T396:T399)</f>
        <v>960.80000000000007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4">
        <f t="shared" si="85"/>
        <v>960.80000000000007</v>
      </c>
      <c r="AB395" s="63">
        <v>2018</v>
      </c>
      <c r="AC395" s="9"/>
      <c r="AD395" s="109"/>
      <c r="AE395" s="109"/>
    </row>
    <row r="396" spans="1:31" ht="15.6" hidden="1" customHeight="1" x14ac:dyDescent="0.25">
      <c r="A396" s="58" t="s">
        <v>19</v>
      </c>
      <c r="B396" s="58" t="s">
        <v>19</v>
      </c>
      <c r="C396" s="58" t="s">
        <v>26</v>
      </c>
      <c r="D396" s="58" t="s">
        <v>19</v>
      </c>
      <c r="E396" s="58" t="s">
        <v>22</v>
      </c>
      <c r="F396" s="58" t="s">
        <v>19</v>
      </c>
      <c r="G396" s="58" t="s">
        <v>23</v>
      </c>
      <c r="H396" s="58" t="s">
        <v>20</v>
      </c>
      <c r="I396" s="58" t="s">
        <v>25</v>
      </c>
      <c r="J396" s="58" t="s">
        <v>19</v>
      </c>
      <c r="K396" s="58" t="s">
        <v>19</v>
      </c>
      <c r="L396" s="58" t="s">
        <v>21</v>
      </c>
      <c r="M396" s="58" t="s">
        <v>20</v>
      </c>
      <c r="N396" s="58" t="s">
        <v>19</v>
      </c>
      <c r="O396" s="58" t="s">
        <v>25</v>
      </c>
      <c r="P396" s="58" t="s">
        <v>23</v>
      </c>
      <c r="Q396" s="58" t="s">
        <v>46</v>
      </c>
      <c r="R396" s="159"/>
      <c r="S396" s="68" t="s">
        <v>0</v>
      </c>
      <c r="T396" s="1">
        <v>384.3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4">
        <f t="shared" si="85"/>
        <v>384.3</v>
      </c>
      <c r="AB396" s="63">
        <v>2018</v>
      </c>
      <c r="AC396" s="9"/>
      <c r="AD396" s="109"/>
      <c r="AE396" s="109"/>
    </row>
    <row r="397" spans="1:31" ht="15.6" hidden="1" customHeight="1" x14ac:dyDescent="0.25">
      <c r="A397" s="58" t="s">
        <v>19</v>
      </c>
      <c r="B397" s="58" t="s">
        <v>19</v>
      </c>
      <c r="C397" s="58" t="s">
        <v>26</v>
      </c>
      <c r="D397" s="58" t="s">
        <v>19</v>
      </c>
      <c r="E397" s="58" t="s">
        <v>22</v>
      </c>
      <c r="F397" s="58" t="s">
        <v>19</v>
      </c>
      <c r="G397" s="58" t="s">
        <v>23</v>
      </c>
      <c r="H397" s="58" t="s">
        <v>20</v>
      </c>
      <c r="I397" s="58" t="s">
        <v>25</v>
      </c>
      <c r="J397" s="58" t="s">
        <v>19</v>
      </c>
      <c r="K397" s="58" t="s">
        <v>19</v>
      </c>
      <c r="L397" s="58" t="s">
        <v>21</v>
      </c>
      <c r="M397" s="58" t="s">
        <v>38</v>
      </c>
      <c r="N397" s="58" t="s">
        <v>19</v>
      </c>
      <c r="O397" s="58" t="s">
        <v>25</v>
      </c>
      <c r="P397" s="58" t="s">
        <v>23</v>
      </c>
      <c r="Q397" s="58" t="s">
        <v>47</v>
      </c>
      <c r="R397" s="159"/>
      <c r="S397" s="68" t="s">
        <v>0</v>
      </c>
      <c r="T397" s="1">
        <v>25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/>
      <c r="AA397" s="64">
        <f t="shared" si="85"/>
        <v>25</v>
      </c>
      <c r="AB397" s="63">
        <v>2018</v>
      </c>
      <c r="AC397" s="9"/>
      <c r="AD397" s="109"/>
      <c r="AE397" s="109"/>
    </row>
    <row r="398" spans="1:31" ht="15.6" hidden="1" customHeight="1" x14ac:dyDescent="0.25">
      <c r="A398" s="58" t="s">
        <v>19</v>
      </c>
      <c r="B398" s="58" t="s">
        <v>19</v>
      </c>
      <c r="C398" s="58" t="s">
        <v>26</v>
      </c>
      <c r="D398" s="58" t="s">
        <v>19</v>
      </c>
      <c r="E398" s="58" t="s">
        <v>22</v>
      </c>
      <c r="F398" s="58" t="s">
        <v>19</v>
      </c>
      <c r="G398" s="58" t="s">
        <v>23</v>
      </c>
      <c r="H398" s="58" t="s">
        <v>20</v>
      </c>
      <c r="I398" s="58" t="s">
        <v>25</v>
      </c>
      <c r="J398" s="58" t="s">
        <v>19</v>
      </c>
      <c r="K398" s="58" t="s">
        <v>19</v>
      </c>
      <c r="L398" s="58" t="s">
        <v>21</v>
      </c>
      <c r="M398" s="58" t="s">
        <v>38</v>
      </c>
      <c r="N398" s="58" t="s">
        <v>19</v>
      </c>
      <c r="O398" s="58" t="s">
        <v>25</v>
      </c>
      <c r="P398" s="58" t="s">
        <v>23</v>
      </c>
      <c r="Q398" s="58" t="s">
        <v>47</v>
      </c>
      <c r="R398" s="159"/>
      <c r="S398" s="68" t="s">
        <v>0</v>
      </c>
      <c r="T398" s="1">
        <v>212.4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4">
        <f t="shared" si="85"/>
        <v>212.4</v>
      </c>
      <c r="AB398" s="63">
        <v>2018</v>
      </c>
      <c r="AC398" s="9"/>
      <c r="AD398" s="109"/>
      <c r="AE398" s="109"/>
    </row>
    <row r="399" spans="1:31" ht="15.6" hidden="1" customHeight="1" x14ac:dyDescent="0.25">
      <c r="A399" s="58" t="s">
        <v>19</v>
      </c>
      <c r="B399" s="58" t="s">
        <v>19</v>
      </c>
      <c r="C399" s="58" t="s">
        <v>26</v>
      </c>
      <c r="D399" s="58" t="s">
        <v>19</v>
      </c>
      <c r="E399" s="58" t="s">
        <v>22</v>
      </c>
      <c r="F399" s="58" t="s">
        <v>19</v>
      </c>
      <c r="G399" s="58" t="s">
        <v>23</v>
      </c>
      <c r="H399" s="58" t="s">
        <v>20</v>
      </c>
      <c r="I399" s="58" t="s">
        <v>25</v>
      </c>
      <c r="J399" s="58" t="s">
        <v>19</v>
      </c>
      <c r="K399" s="58" t="s">
        <v>19</v>
      </c>
      <c r="L399" s="58" t="s">
        <v>21</v>
      </c>
      <c r="M399" s="58" t="s">
        <v>38</v>
      </c>
      <c r="N399" s="58" t="s">
        <v>19</v>
      </c>
      <c r="O399" s="58" t="s">
        <v>25</v>
      </c>
      <c r="P399" s="58" t="s">
        <v>23</v>
      </c>
      <c r="Q399" s="58" t="s">
        <v>40</v>
      </c>
      <c r="R399" s="160"/>
      <c r="S399" s="68" t="s">
        <v>0</v>
      </c>
      <c r="T399" s="1">
        <v>339.1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4">
        <f t="shared" si="85"/>
        <v>339.1</v>
      </c>
      <c r="AB399" s="63">
        <v>2018</v>
      </c>
      <c r="AC399" s="9"/>
      <c r="AD399" s="109"/>
      <c r="AE399" s="109"/>
    </row>
    <row r="400" spans="1:31" ht="31.15" hidden="1" customHeight="1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85" t="s">
        <v>251</v>
      </c>
      <c r="S400" s="91" t="s">
        <v>185</v>
      </c>
      <c r="T400" s="3">
        <v>78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/>
      <c r="AA400" s="6">
        <f t="shared" si="85"/>
        <v>78</v>
      </c>
      <c r="AB400" s="42">
        <v>2018</v>
      </c>
      <c r="AC400" s="9"/>
      <c r="AD400" s="109"/>
      <c r="AE400" s="109"/>
    </row>
    <row r="401" spans="1:31" ht="15.6" hidden="1" customHeight="1" x14ac:dyDescent="0.25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158" t="s">
        <v>252</v>
      </c>
      <c r="S401" s="68" t="s">
        <v>0</v>
      </c>
      <c r="T401" s="1">
        <f>SUM(T402:T405)</f>
        <v>301.2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4">
        <f t="shared" si="85"/>
        <v>301.2</v>
      </c>
      <c r="AB401" s="63">
        <v>2018</v>
      </c>
      <c r="AC401" s="9"/>
      <c r="AD401" s="109"/>
      <c r="AE401" s="109"/>
    </row>
    <row r="402" spans="1:31" ht="15.6" hidden="1" customHeight="1" x14ac:dyDescent="0.25">
      <c r="A402" s="58" t="s">
        <v>19</v>
      </c>
      <c r="B402" s="58" t="s">
        <v>19</v>
      </c>
      <c r="C402" s="58" t="s">
        <v>26</v>
      </c>
      <c r="D402" s="58" t="s">
        <v>19</v>
      </c>
      <c r="E402" s="58" t="s">
        <v>22</v>
      </c>
      <c r="F402" s="58" t="s">
        <v>19</v>
      </c>
      <c r="G402" s="58" t="s">
        <v>23</v>
      </c>
      <c r="H402" s="58" t="s">
        <v>20</v>
      </c>
      <c r="I402" s="58" t="s">
        <v>25</v>
      </c>
      <c r="J402" s="58" t="s">
        <v>19</v>
      </c>
      <c r="K402" s="58" t="s">
        <v>19</v>
      </c>
      <c r="L402" s="58" t="s">
        <v>21</v>
      </c>
      <c r="M402" s="58" t="s">
        <v>20</v>
      </c>
      <c r="N402" s="58" t="s">
        <v>19</v>
      </c>
      <c r="O402" s="58" t="s">
        <v>25</v>
      </c>
      <c r="P402" s="58" t="s">
        <v>23</v>
      </c>
      <c r="Q402" s="58" t="s">
        <v>46</v>
      </c>
      <c r="R402" s="159"/>
      <c r="S402" s="68" t="s">
        <v>0</v>
      </c>
      <c r="T402" s="1">
        <v>114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4">
        <f t="shared" si="85"/>
        <v>114</v>
      </c>
      <c r="AB402" s="63">
        <v>2018</v>
      </c>
      <c r="AC402" s="9"/>
      <c r="AD402" s="109"/>
      <c r="AE402" s="109"/>
    </row>
    <row r="403" spans="1:31" ht="15.6" hidden="1" customHeight="1" x14ac:dyDescent="0.25">
      <c r="A403" s="58" t="s">
        <v>19</v>
      </c>
      <c r="B403" s="58" t="s">
        <v>19</v>
      </c>
      <c r="C403" s="58" t="s">
        <v>26</v>
      </c>
      <c r="D403" s="58" t="s">
        <v>19</v>
      </c>
      <c r="E403" s="58" t="s">
        <v>22</v>
      </c>
      <c r="F403" s="58" t="s">
        <v>19</v>
      </c>
      <c r="G403" s="58" t="s">
        <v>23</v>
      </c>
      <c r="H403" s="58" t="s">
        <v>20</v>
      </c>
      <c r="I403" s="58" t="s">
        <v>25</v>
      </c>
      <c r="J403" s="58" t="s">
        <v>19</v>
      </c>
      <c r="K403" s="58" t="s">
        <v>19</v>
      </c>
      <c r="L403" s="58" t="s">
        <v>21</v>
      </c>
      <c r="M403" s="58" t="s">
        <v>38</v>
      </c>
      <c r="N403" s="58" t="s">
        <v>19</v>
      </c>
      <c r="O403" s="58" t="s">
        <v>25</v>
      </c>
      <c r="P403" s="58" t="s">
        <v>23</v>
      </c>
      <c r="Q403" s="58" t="s">
        <v>47</v>
      </c>
      <c r="R403" s="159"/>
      <c r="S403" s="68" t="s">
        <v>0</v>
      </c>
      <c r="T403" s="1">
        <v>10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/>
      <c r="AA403" s="64">
        <f t="shared" si="85"/>
        <v>10</v>
      </c>
      <c r="AB403" s="63">
        <v>2018</v>
      </c>
      <c r="AC403" s="9"/>
      <c r="AD403" s="109"/>
      <c r="AE403" s="109"/>
    </row>
    <row r="404" spans="1:31" ht="15.6" hidden="1" customHeight="1" x14ac:dyDescent="0.25">
      <c r="A404" s="58" t="s">
        <v>19</v>
      </c>
      <c r="B404" s="58" t="s">
        <v>19</v>
      </c>
      <c r="C404" s="58" t="s">
        <v>26</v>
      </c>
      <c r="D404" s="58" t="s">
        <v>19</v>
      </c>
      <c r="E404" s="58" t="s">
        <v>22</v>
      </c>
      <c r="F404" s="58" t="s">
        <v>19</v>
      </c>
      <c r="G404" s="58" t="s">
        <v>23</v>
      </c>
      <c r="H404" s="58" t="s">
        <v>20</v>
      </c>
      <c r="I404" s="58" t="s">
        <v>25</v>
      </c>
      <c r="J404" s="58" t="s">
        <v>19</v>
      </c>
      <c r="K404" s="58" t="s">
        <v>19</v>
      </c>
      <c r="L404" s="58" t="s">
        <v>21</v>
      </c>
      <c r="M404" s="58" t="s">
        <v>38</v>
      </c>
      <c r="N404" s="58" t="s">
        <v>19</v>
      </c>
      <c r="O404" s="58" t="s">
        <v>25</v>
      </c>
      <c r="P404" s="58" t="s">
        <v>23</v>
      </c>
      <c r="Q404" s="58" t="s">
        <v>47</v>
      </c>
      <c r="R404" s="159"/>
      <c r="S404" s="68" t="s">
        <v>0</v>
      </c>
      <c r="T404" s="1">
        <v>63.2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4">
        <f t="shared" si="85"/>
        <v>63.2</v>
      </c>
      <c r="AB404" s="63">
        <v>2018</v>
      </c>
      <c r="AC404" s="9"/>
      <c r="AD404" s="109"/>
      <c r="AE404" s="109"/>
    </row>
    <row r="405" spans="1:31" ht="15.6" hidden="1" customHeight="1" x14ac:dyDescent="0.25">
      <c r="A405" s="58" t="s">
        <v>19</v>
      </c>
      <c r="B405" s="58" t="s">
        <v>19</v>
      </c>
      <c r="C405" s="58" t="s">
        <v>26</v>
      </c>
      <c r="D405" s="58" t="s">
        <v>19</v>
      </c>
      <c r="E405" s="58" t="s">
        <v>22</v>
      </c>
      <c r="F405" s="58" t="s">
        <v>19</v>
      </c>
      <c r="G405" s="58" t="s">
        <v>23</v>
      </c>
      <c r="H405" s="58" t="s">
        <v>20</v>
      </c>
      <c r="I405" s="58" t="s">
        <v>25</v>
      </c>
      <c r="J405" s="58" t="s">
        <v>19</v>
      </c>
      <c r="K405" s="58" t="s">
        <v>19</v>
      </c>
      <c r="L405" s="58" t="s">
        <v>21</v>
      </c>
      <c r="M405" s="58" t="s">
        <v>38</v>
      </c>
      <c r="N405" s="58" t="s">
        <v>19</v>
      </c>
      <c r="O405" s="58" t="s">
        <v>25</v>
      </c>
      <c r="P405" s="58" t="s">
        <v>23</v>
      </c>
      <c r="Q405" s="58" t="s">
        <v>40</v>
      </c>
      <c r="R405" s="160"/>
      <c r="S405" s="68" t="s">
        <v>0</v>
      </c>
      <c r="T405" s="1">
        <v>114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4">
        <f t="shared" si="85"/>
        <v>114</v>
      </c>
      <c r="AB405" s="63">
        <v>2018</v>
      </c>
      <c r="AC405" s="9"/>
      <c r="AD405" s="109"/>
      <c r="AE405" s="109"/>
    </row>
    <row r="406" spans="1:31" ht="45" hidden="1" customHeight="1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85" t="s">
        <v>253</v>
      </c>
      <c r="S406" s="91" t="s">
        <v>51</v>
      </c>
      <c r="T406" s="45">
        <v>12</v>
      </c>
      <c r="U406" s="45">
        <v>0</v>
      </c>
      <c r="V406" s="45">
        <v>0</v>
      </c>
      <c r="W406" s="45">
        <v>0</v>
      </c>
      <c r="X406" s="45">
        <v>0</v>
      </c>
      <c r="Y406" s="45">
        <v>0</v>
      </c>
      <c r="Z406" s="45"/>
      <c r="AA406" s="53">
        <f t="shared" si="85"/>
        <v>12</v>
      </c>
      <c r="AB406" s="42">
        <v>2018</v>
      </c>
      <c r="AC406" s="9"/>
      <c r="AD406" s="109"/>
      <c r="AE406" s="109"/>
    </row>
    <row r="407" spans="1:31" ht="15.6" hidden="1" customHeight="1" x14ac:dyDescent="0.25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158" t="s">
        <v>254</v>
      </c>
      <c r="S407" s="68" t="s">
        <v>0</v>
      </c>
      <c r="T407" s="1">
        <f>SUM(T408:T411)</f>
        <v>465.4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4">
        <f t="shared" si="85"/>
        <v>465.4</v>
      </c>
      <c r="AB407" s="63">
        <v>2018</v>
      </c>
      <c r="AC407" s="9"/>
      <c r="AD407" s="109"/>
      <c r="AE407" s="109"/>
    </row>
    <row r="408" spans="1:31" ht="15.6" hidden="1" customHeight="1" x14ac:dyDescent="0.25">
      <c r="A408" s="58" t="s">
        <v>19</v>
      </c>
      <c r="B408" s="58" t="s">
        <v>19</v>
      </c>
      <c r="C408" s="58" t="s">
        <v>26</v>
      </c>
      <c r="D408" s="58" t="s">
        <v>19</v>
      </c>
      <c r="E408" s="58" t="s">
        <v>22</v>
      </c>
      <c r="F408" s="58" t="s">
        <v>19</v>
      </c>
      <c r="G408" s="58" t="s">
        <v>23</v>
      </c>
      <c r="H408" s="58" t="s">
        <v>20</v>
      </c>
      <c r="I408" s="58" t="s">
        <v>25</v>
      </c>
      <c r="J408" s="58" t="s">
        <v>19</v>
      </c>
      <c r="K408" s="58" t="s">
        <v>19</v>
      </c>
      <c r="L408" s="58" t="s">
        <v>21</v>
      </c>
      <c r="M408" s="58" t="s">
        <v>20</v>
      </c>
      <c r="N408" s="58" t="s">
        <v>19</v>
      </c>
      <c r="O408" s="58" t="s">
        <v>25</v>
      </c>
      <c r="P408" s="58" t="s">
        <v>23</v>
      </c>
      <c r="Q408" s="58" t="s">
        <v>46</v>
      </c>
      <c r="R408" s="159"/>
      <c r="S408" s="68" t="s">
        <v>0</v>
      </c>
      <c r="T408" s="1">
        <v>178.8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4">
        <f t="shared" si="85"/>
        <v>178.8</v>
      </c>
      <c r="AB408" s="63">
        <v>2018</v>
      </c>
      <c r="AC408" s="9"/>
      <c r="AD408" s="109"/>
      <c r="AE408" s="109"/>
    </row>
    <row r="409" spans="1:31" ht="15.6" hidden="1" customHeight="1" x14ac:dyDescent="0.25">
      <c r="A409" s="58" t="s">
        <v>19</v>
      </c>
      <c r="B409" s="58" t="s">
        <v>19</v>
      </c>
      <c r="C409" s="58" t="s">
        <v>26</v>
      </c>
      <c r="D409" s="58" t="s">
        <v>19</v>
      </c>
      <c r="E409" s="58" t="s">
        <v>22</v>
      </c>
      <c r="F409" s="58" t="s">
        <v>19</v>
      </c>
      <c r="G409" s="58" t="s">
        <v>23</v>
      </c>
      <c r="H409" s="58" t="s">
        <v>20</v>
      </c>
      <c r="I409" s="58" t="s">
        <v>25</v>
      </c>
      <c r="J409" s="58" t="s">
        <v>19</v>
      </c>
      <c r="K409" s="58" t="s">
        <v>19</v>
      </c>
      <c r="L409" s="58" t="s">
        <v>21</v>
      </c>
      <c r="M409" s="58" t="s">
        <v>38</v>
      </c>
      <c r="N409" s="58" t="s">
        <v>19</v>
      </c>
      <c r="O409" s="58" t="s">
        <v>25</v>
      </c>
      <c r="P409" s="58" t="s">
        <v>23</v>
      </c>
      <c r="Q409" s="58" t="s">
        <v>47</v>
      </c>
      <c r="R409" s="159"/>
      <c r="S409" s="68" t="s">
        <v>0</v>
      </c>
      <c r="T409" s="1">
        <v>10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64">
        <f t="shared" si="85"/>
        <v>10</v>
      </c>
      <c r="AB409" s="63">
        <v>2018</v>
      </c>
      <c r="AC409" s="9"/>
      <c r="AD409" s="109"/>
      <c r="AE409" s="109"/>
    </row>
    <row r="410" spans="1:31" ht="15.6" hidden="1" customHeight="1" x14ac:dyDescent="0.25">
      <c r="A410" s="58" t="s">
        <v>19</v>
      </c>
      <c r="B410" s="58" t="s">
        <v>19</v>
      </c>
      <c r="C410" s="58" t="s">
        <v>26</v>
      </c>
      <c r="D410" s="58" t="s">
        <v>19</v>
      </c>
      <c r="E410" s="58" t="s">
        <v>22</v>
      </c>
      <c r="F410" s="58" t="s">
        <v>19</v>
      </c>
      <c r="G410" s="58" t="s">
        <v>23</v>
      </c>
      <c r="H410" s="58" t="s">
        <v>20</v>
      </c>
      <c r="I410" s="58" t="s">
        <v>25</v>
      </c>
      <c r="J410" s="58" t="s">
        <v>19</v>
      </c>
      <c r="K410" s="58" t="s">
        <v>19</v>
      </c>
      <c r="L410" s="58" t="s">
        <v>21</v>
      </c>
      <c r="M410" s="58" t="s">
        <v>38</v>
      </c>
      <c r="N410" s="58" t="s">
        <v>19</v>
      </c>
      <c r="O410" s="58" t="s">
        <v>25</v>
      </c>
      <c r="P410" s="58" t="s">
        <v>23</v>
      </c>
      <c r="Q410" s="58" t="s">
        <v>47</v>
      </c>
      <c r="R410" s="159"/>
      <c r="S410" s="68" t="s">
        <v>0</v>
      </c>
      <c r="T410" s="1">
        <v>97.7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4">
        <f t="shared" si="85"/>
        <v>97.7</v>
      </c>
      <c r="AB410" s="63">
        <v>2018</v>
      </c>
      <c r="AC410" s="9"/>
      <c r="AD410" s="109"/>
      <c r="AE410" s="109"/>
    </row>
    <row r="411" spans="1:31" ht="15.6" hidden="1" customHeight="1" x14ac:dyDescent="0.25">
      <c r="A411" s="58" t="s">
        <v>19</v>
      </c>
      <c r="B411" s="58" t="s">
        <v>19</v>
      </c>
      <c r="C411" s="58" t="s">
        <v>26</v>
      </c>
      <c r="D411" s="58" t="s">
        <v>19</v>
      </c>
      <c r="E411" s="58" t="s">
        <v>22</v>
      </c>
      <c r="F411" s="58" t="s">
        <v>19</v>
      </c>
      <c r="G411" s="58" t="s">
        <v>23</v>
      </c>
      <c r="H411" s="58" t="s">
        <v>20</v>
      </c>
      <c r="I411" s="58" t="s">
        <v>25</v>
      </c>
      <c r="J411" s="58" t="s">
        <v>19</v>
      </c>
      <c r="K411" s="58" t="s">
        <v>19</v>
      </c>
      <c r="L411" s="58" t="s">
        <v>21</v>
      </c>
      <c r="M411" s="58" t="s">
        <v>38</v>
      </c>
      <c r="N411" s="58" t="s">
        <v>19</v>
      </c>
      <c r="O411" s="58" t="s">
        <v>25</v>
      </c>
      <c r="P411" s="58" t="s">
        <v>23</v>
      </c>
      <c r="Q411" s="58" t="s">
        <v>40</v>
      </c>
      <c r="R411" s="160"/>
      <c r="S411" s="68" t="s">
        <v>0</v>
      </c>
      <c r="T411" s="1">
        <v>178.9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4">
        <f t="shared" si="85"/>
        <v>178.9</v>
      </c>
      <c r="AB411" s="63">
        <v>2018</v>
      </c>
      <c r="AC411" s="9"/>
      <c r="AD411" s="109"/>
      <c r="AE411" s="109"/>
    </row>
    <row r="412" spans="1:31" ht="41.45" hidden="1" customHeight="1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85" t="s">
        <v>255</v>
      </c>
      <c r="S412" s="91" t="s">
        <v>184</v>
      </c>
      <c r="T412" s="3">
        <v>127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/>
      <c r="AA412" s="6">
        <f t="shared" si="85"/>
        <v>127</v>
      </c>
      <c r="AB412" s="42">
        <v>2018</v>
      </c>
      <c r="AC412" s="9"/>
      <c r="AD412" s="109"/>
      <c r="AE412" s="109"/>
    </row>
    <row r="413" spans="1:31" ht="15.6" hidden="1" customHeight="1" x14ac:dyDescent="0.25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158" t="s">
        <v>256</v>
      </c>
      <c r="S413" s="68" t="s">
        <v>0</v>
      </c>
      <c r="T413" s="1">
        <f>SUM(T414:T417)</f>
        <v>482.90000000000003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4">
        <f t="shared" si="85"/>
        <v>482.90000000000003</v>
      </c>
      <c r="AB413" s="63">
        <v>2018</v>
      </c>
      <c r="AC413" s="9"/>
      <c r="AD413" s="109"/>
      <c r="AE413" s="109"/>
    </row>
    <row r="414" spans="1:31" ht="15.6" hidden="1" customHeight="1" x14ac:dyDescent="0.25">
      <c r="A414" s="58" t="s">
        <v>19</v>
      </c>
      <c r="B414" s="58" t="s">
        <v>19</v>
      </c>
      <c r="C414" s="58" t="s">
        <v>26</v>
      </c>
      <c r="D414" s="58" t="s">
        <v>19</v>
      </c>
      <c r="E414" s="58" t="s">
        <v>22</v>
      </c>
      <c r="F414" s="58" t="s">
        <v>19</v>
      </c>
      <c r="G414" s="58" t="s">
        <v>23</v>
      </c>
      <c r="H414" s="58" t="s">
        <v>20</v>
      </c>
      <c r="I414" s="58" t="s">
        <v>25</v>
      </c>
      <c r="J414" s="58" t="s">
        <v>19</v>
      </c>
      <c r="K414" s="58" t="s">
        <v>19</v>
      </c>
      <c r="L414" s="58" t="s">
        <v>21</v>
      </c>
      <c r="M414" s="58" t="s">
        <v>20</v>
      </c>
      <c r="N414" s="58" t="s">
        <v>19</v>
      </c>
      <c r="O414" s="58" t="s">
        <v>25</v>
      </c>
      <c r="P414" s="58" t="s">
        <v>23</v>
      </c>
      <c r="Q414" s="58" t="s">
        <v>46</v>
      </c>
      <c r="R414" s="159"/>
      <c r="S414" s="68" t="s">
        <v>0</v>
      </c>
      <c r="T414" s="1">
        <v>193.2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4">
        <f t="shared" si="85"/>
        <v>193.2</v>
      </c>
      <c r="AB414" s="63">
        <v>2018</v>
      </c>
      <c r="AC414" s="9"/>
      <c r="AD414" s="109"/>
      <c r="AE414" s="109"/>
    </row>
    <row r="415" spans="1:31" ht="15.6" hidden="1" customHeight="1" x14ac:dyDescent="0.25">
      <c r="A415" s="58" t="s">
        <v>19</v>
      </c>
      <c r="B415" s="58" t="s">
        <v>19</v>
      </c>
      <c r="C415" s="58" t="s">
        <v>26</v>
      </c>
      <c r="D415" s="58" t="s">
        <v>19</v>
      </c>
      <c r="E415" s="58" t="s">
        <v>22</v>
      </c>
      <c r="F415" s="58" t="s">
        <v>19</v>
      </c>
      <c r="G415" s="58" t="s">
        <v>23</v>
      </c>
      <c r="H415" s="58" t="s">
        <v>20</v>
      </c>
      <c r="I415" s="58" t="s">
        <v>25</v>
      </c>
      <c r="J415" s="58" t="s">
        <v>19</v>
      </c>
      <c r="K415" s="58" t="s">
        <v>19</v>
      </c>
      <c r="L415" s="58" t="s">
        <v>21</v>
      </c>
      <c r="M415" s="58" t="s">
        <v>38</v>
      </c>
      <c r="N415" s="58" t="s">
        <v>19</v>
      </c>
      <c r="O415" s="58" t="s">
        <v>25</v>
      </c>
      <c r="P415" s="58" t="s">
        <v>23</v>
      </c>
      <c r="Q415" s="58" t="s">
        <v>47</v>
      </c>
      <c r="R415" s="159"/>
      <c r="S415" s="68" t="s">
        <v>0</v>
      </c>
      <c r="T415" s="1">
        <v>10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64">
        <f t="shared" si="85"/>
        <v>10</v>
      </c>
      <c r="AB415" s="63">
        <v>2018</v>
      </c>
      <c r="AC415" s="9"/>
      <c r="AD415" s="109"/>
      <c r="AE415" s="109"/>
    </row>
    <row r="416" spans="1:31" ht="15.6" hidden="1" customHeight="1" x14ac:dyDescent="0.25">
      <c r="A416" s="58" t="s">
        <v>19</v>
      </c>
      <c r="B416" s="58" t="s">
        <v>19</v>
      </c>
      <c r="C416" s="58" t="s">
        <v>26</v>
      </c>
      <c r="D416" s="58" t="s">
        <v>19</v>
      </c>
      <c r="E416" s="58" t="s">
        <v>22</v>
      </c>
      <c r="F416" s="58" t="s">
        <v>19</v>
      </c>
      <c r="G416" s="58" t="s">
        <v>23</v>
      </c>
      <c r="H416" s="58" t="s">
        <v>20</v>
      </c>
      <c r="I416" s="58" t="s">
        <v>25</v>
      </c>
      <c r="J416" s="58" t="s">
        <v>19</v>
      </c>
      <c r="K416" s="58" t="s">
        <v>19</v>
      </c>
      <c r="L416" s="58" t="s">
        <v>21</v>
      </c>
      <c r="M416" s="58" t="s">
        <v>38</v>
      </c>
      <c r="N416" s="58" t="s">
        <v>19</v>
      </c>
      <c r="O416" s="58" t="s">
        <v>25</v>
      </c>
      <c r="P416" s="58" t="s">
        <v>23</v>
      </c>
      <c r="Q416" s="58" t="s">
        <v>47</v>
      </c>
      <c r="R416" s="159"/>
      <c r="S416" s="68" t="s">
        <v>0</v>
      </c>
      <c r="T416" s="1">
        <v>101.4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4">
        <f t="shared" si="85"/>
        <v>101.4</v>
      </c>
      <c r="AB416" s="63">
        <v>2018</v>
      </c>
      <c r="AC416" s="9"/>
      <c r="AD416" s="109"/>
      <c r="AE416" s="109"/>
    </row>
    <row r="417" spans="1:31" ht="15.6" hidden="1" customHeight="1" x14ac:dyDescent="0.25">
      <c r="A417" s="58" t="s">
        <v>19</v>
      </c>
      <c r="B417" s="58" t="s">
        <v>19</v>
      </c>
      <c r="C417" s="58" t="s">
        <v>26</v>
      </c>
      <c r="D417" s="58" t="s">
        <v>19</v>
      </c>
      <c r="E417" s="58" t="s">
        <v>22</v>
      </c>
      <c r="F417" s="58" t="s">
        <v>19</v>
      </c>
      <c r="G417" s="58" t="s">
        <v>23</v>
      </c>
      <c r="H417" s="58" t="s">
        <v>20</v>
      </c>
      <c r="I417" s="58" t="s">
        <v>25</v>
      </c>
      <c r="J417" s="58" t="s">
        <v>19</v>
      </c>
      <c r="K417" s="58" t="s">
        <v>19</v>
      </c>
      <c r="L417" s="58" t="s">
        <v>21</v>
      </c>
      <c r="M417" s="58" t="s">
        <v>38</v>
      </c>
      <c r="N417" s="58" t="s">
        <v>19</v>
      </c>
      <c r="O417" s="58" t="s">
        <v>25</v>
      </c>
      <c r="P417" s="58" t="s">
        <v>23</v>
      </c>
      <c r="Q417" s="58" t="s">
        <v>40</v>
      </c>
      <c r="R417" s="160"/>
      <c r="S417" s="68" t="s">
        <v>0</v>
      </c>
      <c r="T417" s="1">
        <v>178.3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4">
        <f t="shared" si="85"/>
        <v>178.3</v>
      </c>
      <c r="AB417" s="63">
        <v>2018</v>
      </c>
      <c r="AC417" s="9"/>
      <c r="AD417" s="109"/>
      <c r="AE417" s="109"/>
    </row>
    <row r="418" spans="1:31" ht="42" hidden="1" customHeight="1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85" t="s">
        <v>257</v>
      </c>
      <c r="S418" s="91" t="s">
        <v>184</v>
      </c>
      <c r="T418" s="3">
        <v>131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/>
      <c r="AA418" s="6">
        <f t="shared" si="85"/>
        <v>131</v>
      </c>
      <c r="AB418" s="42">
        <v>2018</v>
      </c>
      <c r="AC418" s="9"/>
      <c r="AD418" s="109"/>
      <c r="AE418" s="109"/>
    </row>
    <row r="419" spans="1:31" ht="18.75" hidden="1" customHeight="1" x14ac:dyDescent="0.25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158" t="s">
        <v>258</v>
      </c>
      <c r="S419" s="68" t="s">
        <v>0</v>
      </c>
      <c r="T419" s="1">
        <f>SUM(T420:T422)</f>
        <v>880.6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4">
        <f t="shared" si="85"/>
        <v>880.6</v>
      </c>
      <c r="AB419" s="63">
        <v>2018</v>
      </c>
      <c r="AC419" s="9"/>
      <c r="AD419" s="109"/>
      <c r="AE419" s="109"/>
    </row>
    <row r="420" spans="1:31" ht="18.75" hidden="1" customHeight="1" x14ac:dyDescent="0.25">
      <c r="A420" s="58" t="s">
        <v>19</v>
      </c>
      <c r="B420" s="58" t="s">
        <v>19</v>
      </c>
      <c r="C420" s="58" t="s">
        <v>26</v>
      </c>
      <c r="D420" s="58" t="s">
        <v>19</v>
      </c>
      <c r="E420" s="58" t="s">
        <v>22</v>
      </c>
      <c r="F420" s="58" t="s">
        <v>19</v>
      </c>
      <c r="G420" s="58" t="s">
        <v>23</v>
      </c>
      <c r="H420" s="58" t="s">
        <v>20</v>
      </c>
      <c r="I420" s="58" t="s">
        <v>25</v>
      </c>
      <c r="J420" s="58" t="s">
        <v>19</v>
      </c>
      <c r="K420" s="58" t="s">
        <v>19</v>
      </c>
      <c r="L420" s="58" t="s">
        <v>21</v>
      </c>
      <c r="M420" s="58" t="s">
        <v>20</v>
      </c>
      <c r="N420" s="58" t="s">
        <v>19</v>
      </c>
      <c r="O420" s="58" t="s">
        <v>25</v>
      </c>
      <c r="P420" s="58" t="s">
        <v>23</v>
      </c>
      <c r="Q420" s="58" t="s">
        <v>46</v>
      </c>
      <c r="R420" s="159"/>
      <c r="S420" s="68" t="s">
        <v>0</v>
      </c>
      <c r="T420" s="1">
        <v>352.2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4">
        <f t="shared" si="85"/>
        <v>352.2</v>
      </c>
      <c r="AB420" s="63">
        <v>2018</v>
      </c>
      <c r="AC420" s="9"/>
      <c r="AD420" s="109"/>
      <c r="AE420" s="109"/>
    </row>
    <row r="421" spans="1:31" ht="18.75" hidden="1" customHeight="1" x14ac:dyDescent="0.25">
      <c r="A421" s="58" t="s">
        <v>19</v>
      </c>
      <c r="B421" s="58" t="s">
        <v>19</v>
      </c>
      <c r="C421" s="58" t="s">
        <v>26</v>
      </c>
      <c r="D421" s="58" t="s">
        <v>19</v>
      </c>
      <c r="E421" s="58" t="s">
        <v>22</v>
      </c>
      <c r="F421" s="58" t="s">
        <v>19</v>
      </c>
      <c r="G421" s="58" t="s">
        <v>23</v>
      </c>
      <c r="H421" s="58" t="s">
        <v>20</v>
      </c>
      <c r="I421" s="58" t="s">
        <v>25</v>
      </c>
      <c r="J421" s="58" t="s">
        <v>19</v>
      </c>
      <c r="K421" s="58" t="s">
        <v>19</v>
      </c>
      <c r="L421" s="58" t="s">
        <v>21</v>
      </c>
      <c r="M421" s="58" t="s">
        <v>38</v>
      </c>
      <c r="N421" s="58" t="s">
        <v>19</v>
      </c>
      <c r="O421" s="58" t="s">
        <v>25</v>
      </c>
      <c r="P421" s="58" t="s">
        <v>23</v>
      </c>
      <c r="Q421" s="58" t="s">
        <v>47</v>
      </c>
      <c r="R421" s="159"/>
      <c r="S421" s="68" t="s">
        <v>0</v>
      </c>
      <c r="T421" s="1">
        <v>140.9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64">
        <f t="shared" si="85"/>
        <v>140.9</v>
      </c>
      <c r="AB421" s="63">
        <v>2018</v>
      </c>
      <c r="AC421" s="9"/>
      <c r="AD421" s="109"/>
      <c r="AE421" s="109"/>
    </row>
    <row r="422" spans="1:31" ht="18.75" hidden="1" customHeight="1" x14ac:dyDescent="0.25">
      <c r="A422" s="58" t="s">
        <v>19</v>
      </c>
      <c r="B422" s="58" t="s">
        <v>19</v>
      </c>
      <c r="C422" s="58" t="s">
        <v>26</v>
      </c>
      <c r="D422" s="58" t="s">
        <v>19</v>
      </c>
      <c r="E422" s="58" t="s">
        <v>22</v>
      </c>
      <c r="F422" s="58" t="s">
        <v>19</v>
      </c>
      <c r="G422" s="58" t="s">
        <v>23</v>
      </c>
      <c r="H422" s="58" t="s">
        <v>20</v>
      </c>
      <c r="I422" s="58" t="s">
        <v>25</v>
      </c>
      <c r="J422" s="58" t="s">
        <v>19</v>
      </c>
      <c r="K422" s="58" t="s">
        <v>19</v>
      </c>
      <c r="L422" s="58" t="s">
        <v>21</v>
      </c>
      <c r="M422" s="58" t="s">
        <v>38</v>
      </c>
      <c r="N422" s="58" t="s">
        <v>19</v>
      </c>
      <c r="O422" s="58" t="s">
        <v>25</v>
      </c>
      <c r="P422" s="58" t="s">
        <v>23</v>
      </c>
      <c r="Q422" s="58" t="s">
        <v>40</v>
      </c>
      <c r="R422" s="160"/>
      <c r="S422" s="68" t="s">
        <v>0</v>
      </c>
      <c r="T422" s="1">
        <v>387.5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4">
        <f t="shared" si="85"/>
        <v>387.5</v>
      </c>
      <c r="AB422" s="63">
        <v>2018</v>
      </c>
      <c r="AC422" s="9"/>
      <c r="AD422" s="109"/>
      <c r="AE422" s="109"/>
    </row>
    <row r="423" spans="1:31" ht="46.15" hidden="1" customHeight="1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83" t="s">
        <v>259</v>
      </c>
      <c r="S423" s="91" t="s">
        <v>184</v>
      </c>
      <c r="T423" s="3">
        <v>600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/>
      <c r="AA423" s="6">
        <f t="shared" si="85"/>
        <v>600</v>
      </c>
      <c r="AB423" s="42">
        <v>2018</v>
      </c>
      <c r="AC423" s="9"/>
      <c r="AD423" s="109"/>
      <c r="AE423" s="109"/>
    </row>
    <row r="424" spans="1:31" ht="15.6" hidden="1" customHeight="1" x14ac:dyDescent="0.25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158" t="s">
        <v>260</v>
      </c>
      <c r="S424" s="68" t="s">
        <v>0</v>
      </c>
      <c r="T424" s="1">
        <f>SUM(T425:T428)</f>
        <v>293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4">
        <f t="shared" si="85"/>
        <v>293</v>
      </c>
      <c r="AB424" s="63">
        <v>2018</v>
      </c>
      <c r="AC424" s="9"/>
      <c r="AD424" s="109"/>
      <c r="AE424" s="109"/>
    </row>
    <row r="425" spans="1:31" ht="15.6" hidden="1" customHeight="1" x14ac:dyDescent="0.25">
      <c r="A425" s="58" t="s">
        <v>19</v>
      </c>
      <c r="B425" s="58" t="s">
        <v>19</v>
      </c>
      <c r="C425" s="58" t="s">
        <v>26</v>
      </c>
      <c r="D425" s="58" t="s">
        <v>19</v>
      </c>
      <c r="E425" s="58" t="s">
        <v>22</v>
      </c>
      <c r="F425" s="58" t="s">
        <v>19</v>
      </c>
      <c r="G425" s="58" t="s">
        <v>23</v>
      </c>
      <c r="H425" s="58" t="s">
        <v>20</v>
      </c>
      <c r="I425" s="58" t="s">
        <v>25</v>
      </c>
      <c r="J425" s="58" t="s">
        <v>19</v>
      </c>
      <c r="K425" s="58" t="s">
        <v>19</v>
      </c>
      <c r="L425" s="58" t="s">
        <v>21</v>
      </c>
      <c r="M425" s="58" t="s">
        <v>20</v>
      </c>
      <c r="N425" s="58" t="s">
        <v>19</v>
      </c>
      <c r="O425" s="58" t="s">
        <v>25</v>
      </c>
      <c r="P425" s="58" t="s">
        <v>23</v>
      </c>
      <c r="Q425" s="58" t="s">
        <v>46</v>
      </c>
      <c r="R425" s="159"/>
      <c r="S425" s="68" t="s">
        <v>0</v>
      </c>
      <c r="T425" s="1">
        <v>117.2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4">
        <f t="shared" si="85"/>
        <v>117.2</v>
      </c>
      <c r="AB425" s="63">
        <v>2018</v>
      </c>
      <c r="AC425" s="9"/>
      <c r="AD425" s="109"/>
      <c r="AE425" s="109"/>
    </row>
    <row r="426" spans="1:31" ht="15.6" hidden="1" customHeight="1" x14ac:dyDescent="0.25">
      <c r="A426" s="58" t="s">
        <v>19</v>
      </c>
      <c r="B426" s="58" t="s">
        <v>19</v>
      </c>
      <c r="C426" s="58" t="s">
        <v>26</v>
      </c>
      <c r="D426" s="58" t="s">
        <v>19</v>
      </c>
      <c r="E426" s="58" t="s">
        <v>22</v>
      </c>
      <c r="F426" s="58" t="s">
        <v>19</v>
      </c>
      <c r="G426" s="58" t="s">
        <v>23</v>
      </c>
      <c r="H426" s="58" t="s">
        <v>20</v>
      </c>
      <c r="I426" s="58" t="s">
        <v>25</v>
      </c>
      <c r="J426" s="58" t="s">
        <v>19</v>
      </c>
      <c r="K426" s="58" t="s">
        <v>19</v>
      </c>
      <c r="L426" s="58" t="s">
        <v>21</v>
      </c>
      <c r="M426" s="58" t="s">
        <v>38</v>
      </c>
      <c r="N426" s="58" t="s">
        <v>19</v>
      </c>
      <c r="O426" s="58" t="s">
        <v>25</v>
      </c>
      <c r="P426" s="58" t="s">
        <v>23</v>
      </c>
      <c r="Q426" s="58" t="s">
        <v>47</v>
      </c>
      <c r="R426" s="159"/>
      <c r="S426" s="68" t="s">
        <v>0</v>
      </c>
      <c r="T426" s="1">
        <v>22.6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64">
        <f t="shared" si="85"/>
        <v>22.6</v>
      </c>
      <c r="AB426" s="63">
        <v>2018</v>
      </c>
      <c r="AC426" s="9"/>
      <c r="AD426" s="109"/>
      <c r="AE426" s="109"/>
    </row>
    <row r="427" spans="1:31" ht="15.6" hidden="1" customHeight="1" x14ac:dyDescent="0.25">
      <c r="A427" s="58" t="s">
        <v>19</v>
      </c>
      <c r="B427" s="58" t="s">
        <v>19</v>
      </c>
      <c r="C427" s="58" t="s">
        <v>26</v>
      </c>
      <c r="D427" s="58" t="s">
        <v>19</v>
      </c>
      <c r="E427" s="58" t="s">
        <v>22</v>
      </c>
      <c r="F427" s="58" t="s">
        <v>19</v>
      </c>
      <c r="G427" s="58" t="s">
        <v>23</v>
      </c>
      <c r="H427" s="58" t="s">
        <v>20</v>
      </c>
      <c r="I427" s="58" t="s">
        <v>25</v>
      </c>
      <c r="J427" s="58" t="s">
        <v>19</v>
      </c>
      <c r="K427" s="58" t="s">
        <v>19</v>
      </c>
      <c r="L427" s="58" t="s">
        <v>21</v>
      </c>
      <c r="M427" s="58" t="s">
        <v>38</v>
      </c>
      <c r="N427" s="58" t="s">
        <v>19</v>
      </c>
      <c r="O427" s="58" t="s">
        <v>25</v>
      </c>
      <c r="P427" s="58" t="s">
        <v>23</v>
      </c>
      <c r="Q427" s="58" t="s">
        <v>47</v>
      </c>
      <c r="R427" s="159"/>
      <c r="S427" s="68" t="s">
        <v>0</v>
      </c>
      <c r="T427" s="1">
        <v>61.5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4">
        <f t="shared" si="85"/>
        <v>61.5</v>
      </c>
      <c r="AB427" s="63">
        <v>2018</v>
      </c>
      <c r="AC427" s="9"/>
      <c r="AD427" s="109"/>
      <c r="AE427" s="109"/>
    </row>
    <row r="428" spans="1:31" ht="15.6" hidden="1" customHeight="1" x14ac:dyDescent="0.25">
      <c r="A428" s="58" t="s">
        <v>19</v>
      </c>
      <c r="B428" s="58" t="s">
        <v>19</v>
      </c>
      <c r="C428" s="58" t="s">
        <v>26</v>
      </c>
      <c r="D428" s="58" t="s">
        <v>19</v>
      </c>
      <c r="E428" s="58" t="s">
        <v>22</v>
      </c>
      <c r="F428" s="58" t="s">
        <v>19</v>
      </c>
      <c r="G428" s="58" t="s">
        <v>23</v>
      </c>
      <c r="H428" s="58" t="s">
        <v>20</v>
      </c>
      <c r="I428" s="58" t="s">
        <v>25</v>
      </c>
      <c r="J428" s="58" t="s">
        <v>19</v>
      </c>
      <c r="K428" s="58" t="s">
        <v>19</v>
      </c>
      <c r="L428" s="58" t="s">
        <v>21</v>
      </c>
      <c r="M428" s="58" t="s">
        <v>38</v>
      </c>
      <c r="N428" s="58" t="s">
        <v>19</v>
      </c>
      <c r="O428" s="58" t="s">
        <v>25</v>
      </c>
      <c r="P428" s="58" t="s">
        <v>23</v>
      </c>
      <c r="Q428" s="58" t="s">
        <v>40</v>
      </c>
      <c r="R428" s="160"/>
      <c r="S428" s="68" t="s">
        <v>0</v>
      </c>
      <c r="T428" s="1">
        <v>91.7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4">
        <f t="shared" si="85"/>
        <v>91.7</v>
      </c>
      <c r="AB428" s="63">
        <v>2018</v>
      </c>
      <c r="AC428" s="9"/>
      <c r="AD428" s="109"/>
      <c r="AE428" s="109"/>
    </row>
    <row r="429" spans="1:31" ht="31.15" hidden="1" customHeight="1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85" t="s">
        <v>261</v>
      </c>
      <c r="S429" s="91" t="s">
        <v>185</v>
      </c>
      <c r="T429" s="3">
        <v>126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/>
      <c r="AA429" s="6">
        <f t="shared" si="85"/>
        <v>126</v>
      </c>
      <c r="AB429" s="42">
        <v>2018</v>
      </c>
      <c r="AC429" s="9"/>
      <c r="AD429" s="109"/>
      <c r="AE429" s="109"/>
    </row>
    <row r="430" spans="1:31" ht="15.6" hidden="1" customHeight="1" x14ac:dyDescent="0.25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158" t="s">
        <v>262</v>
      </c>
      <c r="S430" s="68" t="s">
        <v>0</v>
      </c>
      <c r="T430" s="1">
        <f>SUM(T431:T434)</f>
        <v>470.59999999999997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4">
        <f t="shared" si="85"/>
        <v>470.59999999999997</v>
      </c>
      <c r="AB430" s="63">
        <v>2018</v>
      </c>
      <c r="AC430" s="9"/>
      <c r="AD430" s="109"/>
      <c r="AE430" s="109"/>
    </row>
    <row r="431" spans="1:31" ht="15.6" hidden="1" customHeight="1" x14ac:dyDescent="0.25">
      <c r="A431" s="58" t="s">
        <v>19</v>
      </c>
      <c r="B431" s="58" t="s">
        <v>19</v>
      </c>
      <c r="C431" s="58" t="s">
        <v>26</v>
      </c>
      <c r="D431" s="58" t="s">
        <v>19</v>
      </c>
      <c r="E431" s="58" t="s">
        <v>22</v>
      </c>
      <c r="F431" s="58" t="s">
        <v>19</v>
      </c>
      <c r="G431" s="58" t="s">
        <v>23</v>
      </c>
      <c r="H431" s="58" t="s">
        <v>20</v>
      </c>
      <c r="I431" s="58" t="s">
        <v>25</v>
      </c>
      <c r="J431" s="58" t="s">
        <v>19</v>
      </c>
      <c r="K431" s="58" t="s">
        <v>19</v>
      </c>
      <c r="L431" s="58" t="s">
        <v>21</v>
      </c>
      <c r="M431" s="58" t="s">
        <v>20</v>
      </c>
      <c r="N431" s="58" t="s">
        <v>19</v>
      </c>
      <c r="O431" s="58" t="s">
        <v>25</v>
      </c>
      <c r="P431" s="58" t="s">
        <v>23</v>
      </c>
      <c r="Q431" s="58" t="s">
        <v>46</v>
      </c>
      <c r="R431" s="159"/>
      <c r="S431" s="68" t="s">
        <v>0</v>
      </c>
      <c r="T431" s="1">
        <v>188.2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4">
        <f t="shared" si="85"/>
        <v>188.2</v>
      </c>
      <c r="AB431" s="63">
        <v>2018</v>
      </c>
      <c r="AC431" s="9"/>
      <c r="AD431" s="109"/>
      <c r="AE431" s="109"/>
    </row>
    <row r="432" spans="1:31" ht="15.6" hidden="1" customHeight="1" x14ac:dyDescent="0.25">
      <c r="A432" s="58" t="s">
        <v>19</v>
      </c>
      <c r="B432" s="58" t="s">
        <v>19</v>
      </c>
      <c r="C432" s="58" t="s">
        <v>26</v>
      </c>
      <c r="D432" s="58" t="s">
        <v>19</v>
      </c>
      <c r="E432" s="58" t="s">
        <v>22</v>
      </c>
      <c r="F432" s="58" t="s">
        <v>19</v>
      </c>
      <c r="G432" s="58" t="s">
        <v>23</v>
      </c>
      <c r="H432" s="58" t="s">
        <v>20</v>
      </c>
      <c r="I432" s="58" t="s">
        <v>25</v>
      </c>
      <c r="J432" s="58" t="s">
        <v>19</v>
      </c>
      <c r="K432" s="58" t="s">
        <v>19</v>
      </c>
      <c r="L432" s="58" t="s">
        <v>21</v>
      </c>
      <c r="M432" s="58" t="s">
        <v>38</v>
      </c>
      <c r="N432" s="58" t="s">
        <v>19</v>
      </c>
      <c r="O432" s="58" t="s">
        <v>25</v>
      </c>
      <c r="P432" s="58" t="s">
        <v>23</v>
      </c>
      <c r="Q432" s="58" t="s">
        <v>47</v>
      </c>
      <c r="R432" s="159"/>
      <c r="S432" s="68" t="s">
        <v>0</v>
      </c>
      <c r="T432" s="1">
        <v>35.1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64">
        <f t="shared" si="85"/>
        <v>35.1</v>
      </c>
      <c r="AB432" s="63">
        <v>2018</v>
      </c>
      <c r="AC432" s="9"/>
      <c r="AD432" s="109"/>
      <c r="AE432" s="109"/>
    </row>
    <row r="433" spans="1:31" ht="15.6" hidden="1" customHeight="1" x14ac:dyDescent="0.25">
      <c r="A433" s="58" t="s">
        <v>19</v>
      </c>
      <c r="B433" s="58" t="s">
        <v>19</v>
      </c>
      <c r="C433" s="58" t="s">
        <v>26</v>
      </c>
      <c r="D433" s="58" t="s">
        <v>19</v>
      </c>
      <c r="E433" s="58" t="s">
        <v>22</v>
      </c>
      <c r="F433" s="58" t="s">
        <v>19</v>
      </c>
      <c r="G433" s="58" t="s">
        <v>23</v>
      </c>
      <c r="H433" s="58" t="s">
        <v>20</v>
      </c>
      <c r="I433" s="58" t="s">
        <v>25</v>
      </c>
      <c r="J433" s="58" t="s">
        <v>19</v>
      </c>
      <c r="K433" s="58" t="s">
        <v>19</v>
      </c>
      <c r="L433" s="58" t="s">
        <v>21</v>
      </c>
      <c r="M433" s="58" t="s">
        <v>38</v>
      </c>
      <c r="N433" s="58" t="s">
        <v>19</v>
      </c>
      <c r="O433" s="58" t="s">
        <v>25</v>
      </c>
      <c r="P433" s="58" t="s">
        <v>23</v>
      </c>
      <c r="Q433" s="58" t="s">
        <v>47</v>
      </c>
      <c r="R433" s="159"/>
      <c r="S433" s="68" t="s">
        <v>0</v>
      </c>
      <c r="T433" s="1">
        <v>98.8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4">
        <f t="shared" si="85"/>
        <v>98.8</v>
      </c>
      <c r="AB433" s="63">
        <v>2018</v>
      </c>
      <c r="AC433" s="9"/>
      <c r="AD433" s="109"/>
      <c r="AE433" s="109"/>
    </row>
    <row r="434" spans="1:31" ht="15.6" hidden="1" customHeight="1" x14ac:dyDescent="0.25">
      <c r="A434" s="58" t="s">
        <v>19</v>
      </c>
      <c r="B434" s="58" t="s">
        <v>19</v>
      </c>
      <c r="C434" s="58" t="s">
        <v>26</v>
      </c>
      <c r="D434" s="58" t="s">
        <v>19</v>
      </c>
      <c r="E434" s="58" t="s">
        <v>22</v>
      </c>
      <c r="F434" s="58" t="s">
        <v>19</v>
      </c>
      <c r="G434" s="58" t="s">
        <v>23</v>
      </c>
      <c r="H434" s="58" t="s">
        <v>20</v>
      </c>
      <c r="I434" s="58" t="s">
        <v>25</v>
      </c>
      <c r="J434" s="58" t="s">
        <v>19</v>
      </c>
      <c r="K434" s="58" t="s">
        <v>19</v>
      </c>
      <c r="L434" s="58" t="s">
        <v>21</v>
      </c>
      <c r="M434" s="58" t="s">
        <v>38</v>
      </c>
      <c r="N434" s="58" t="s">
        <v>19</v>
      </c>
      <c r="O434" s="58" t="s">
        <v>25</v>
      </c>
      <c r="P434" s="58" t="s">
        <v>23</v>
      </c>
      <c r="Q434" s="58" t="s">
        <v>40</v>
      </c>
      <c r="R434" s="160"/>
      <c r="S434" s="68" t="s">
        <v>0</v>
      </c>
      <c r="T434" s="1">
        <v>148.5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4">
        <f t="shared" si="85"/>
        <v>148.5</v>
      </c>
      <c r="AB434" s="63">
        <v>2018</v>
      </c>
      <c r="AC434" s="9"/>
      <c r="AD434" s="109"/>
      <c r="AE434" s="109"/>
    </row>
    <row r="435" spans="1:31" ht="31.15" hidden="1" customHeight="1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85" t="s">
        <v>263</v>
      </c>
      <c r="S435" s="91" t="s">
        <v>184</v>
      </c>
      <c r="T435" s="3">
        <v>131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/>
      <c r="AA435" s="6">
        <f t="shared" si="85"/>
        <v>131</v>
      </c>
      <c r="AB435" s="42">
        <v>2018</v>
      </c>
      <c r="AC435" s="9"/>
      <c r="AD435" s="109"/>
      <c r="AE435" s="109"/>
    </row>
    <row r="436" spans="1:31" ht="15.6" hidden="1" customHeight="1" x14ac:dyDescent="0.25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158" t="s">
        <v>264</v>
      </c>
      <c r="S436" s="68" t="s">
        <v>0</v>
      </c>
      <c r="T436" s="1">
        <f>SUM(T437:T440)</f>
        <v>879.8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4">
        <f t="shared" si="85"/>
        <v>879.8</v>
      </c>
      <c r="AB436" s="63">
        <v>2018</v>
      </c>
      <c r="AC436" s="9"/>
      <c r="AD436" s="109"/>
      <c r="AE436" s="109"/>
    </row>
    <row r="437" spans="1:31" ht="15.6" hidden="1" customHeight="1" x14ac:dyDescent="0.25">
      <c r="A437" s="58" t="s">
        <v>19</v>
      </c>
      <c r="B437" s="58" t="s">
        <v>19</v>
      </c>
      <c r="C437" s="58" t="s">
        <v>26</v>
      </c>
      <c r="D437" s="58" t="s">
        <v>19</v>
      </c>
      <c r="E437" s="58" t="s">
        <v>22</v>
      </c>
      <c r="F437" s="58" t="s">
        <v>19</v>
      </c>
      <c r="G437" s="58" t="s">
        <v>23</v>
      </c>
      <c r="H437" s="58" t="s">
        <v>20</v>
      </c>
      <c r="I437" s="58" t="s">
        <v>25</v>
      </c>
      <c r="J437" s="58" t="s">
        <v>19</v>
      </c>
      <c r="K437" s="58" t="s">
        <v>19</v>
      </c>
      <c r="L437" s="58" t="s">
        <v>21</v>
      </c>
      <c r="M437" s="58" t="s">
        <v>20</v>
      </c>
      <c r="N437" s="58" t="s">
        <v>19</v>
      </c>
      <c r="O437" s="58" t="s">
        <v>25</v>
      </c>
      <c r="P437" s="58" t="s">
        <v>23</v>
      </c>
      <c r="Q437" s="58" t="s">
        <v>46</v>
      </c>
      <c r="R437" s="159"/>
      <c r="S437" s="68" t="s">
        <v>0</v>
      </c>
      <c r="T437" s="1">
        <v>350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4">
        <f t="shared" si="85"/>
        <v>350</v>
      </c>
      <c r="AB437" s="63">
        <v>2018</v>
      </c>
      <c r="AC437" s="9"/>
      <c r="AD437" s="109"/>
      <c r="AE437" s="109"/>
    </row>
    <row r="438" spans="1:31" ht="15.6" hidden="1" customHeight="1" x14ac:dyDescent="0.25">
      <c r="A438" s="58" t="s">
        <v>19</v>
      </c>
      <c r="B438" s="58" t="s">
        <v>19</v>
      </c>
      <c r="C438" s="58" t="s">
        <v>26</v>
      </c>
      <c r="D438" s="58" t="s">
        <v>19</v>
      </c>
      <c r="E438" s="58" t="s">
        <v>22</v>
      </c>
      <c r="F438" s="58" t="s">
        <v>19</v>
      </c>
      <c r="G438" s="58" t="s">
        <v>23</v>
      </c>
      <c r="H438" s="58" t="s">
        <v>20</v>
      </c>
      <c r="I438" s="58" t="s">
        <v>25</v>
      </c>
      <c r="J438" s="58" t="s">
        <v>19</v>
      </c>
      <c r="K438" s="58" t="s">
        <v>19</v>
      </c>
      <c r="L438" s="58" t="s">
        <v>21</v>
      </c>
      <c r="M438" s="58" t="s">
        <v>38</v>
      </c>
      <c r="N438" s="58" t="s">
        <v>19</v>
      </c>
      <c r="O438" s="58" t="s">
        <v>25</v>
      </c>
      <c r="P438" s="58" t="s">
        <v>23</v>
      </c>
      <c r="Q438" s="58" t="s">
        <v>47</v>
      </c>
      <c r="R438" s="159"/>
      <c r="S438" s="68" t="s">
        <v>0</v>
      </c>
      <c r="T438" s="1">
        <v>10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64">
        <f t="shared" si="85"/>
        <v>10</v>
      </c>
      <c r="AB438" s="63">
        <v>2018</v>
      </c>
      <c r="AC438" s="9"/>
      <c r="AD438" s="109"/>
      <c r="AE438" s="109"/>
    </row>
    <row r="439" spans="1:31" ht="15.6" hidden="1" customHeight="1" x14ac:dyDescent="0.25">
      <c r="A439" s="58" t="s">
        <v>19</v>
      </c>
      <c r="B439" s="58" t="s">
        <v>19</v>
      </c>
      <c r="C439" s="58" t="s">
        <v>26</v>
      </c>
      <c r="D439" s="58" t="s">
        <v>19</v>
      </c>
      <c r="E439" s="58" t="s">
        <v>22</v>
      </c>
      <c r="F439" s="58" t="s">
        <v>19</v>
      </c>
      <c r="G439" s="58" t="s">
        <v>23</v>
      </c>
      <c r="H439" s="58" t="s">
        <v>20</v>
      </c>
      <c r="I439" s="58" t="s">
        <v>25</v>
      </c>
      <c r="J439" s="58" t="s">
        <v>19</v>
      </c>
      <c r="K439" s="58" t="s">
        <v>19</v>
      </c>
      <c r="L439" s="58" t="s">
        <v>21</v>
      </c>
      <c r="M439" s="58" t="s">
        <v>38</v>
      </c>
      <c r="N439" s="58" t="s">
        <v>19</v>
      </c>
      <c r="O439" s="58" t="s">
        <v>25</v>
      </c>
      <c r="P439" s="58" t="s">
        <v>23</v>
      </c>
      <c r="Q439" s="58" t="s">
        <v>47</v>
      </c>
      <c r="R439" s="159"/>
      <c r="S439" s="68" t="s">
        <v>0</v>
      </c>
      <c r="T439" s="1">
        <v>141.69999999999999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4">
        <f t="shared" si="85"/>
        <v>141.69999999999999</v>
      </c>
      <c r="AB439" s="63">
        <v>2018</v>
      </c>
      <c r="AC439" s="9"/>
      <c r="AD439" s="109"/>
      <c r="AE439" s="109"/>
    </row>
    <row r="440" spans="1:31" ht="15.6" hidden="1" customHeight="1" x14ac:dyDescent="0.25">
      <c r="A440" s="58" t="s">
        <v>19</v>
      </c>
      <c r="B440" s="58" t="s">
        <v>19</v>
      </c>
      <c r="C440" s="58" t="s">
        <v>26</v>
      </c>
      <c r="D440" s="58" t="s">
        <v>19</v>
      </c>
      <c r="E440" s="58" t="s">
        <v>22</v>
      </c>
      <c r="F440" s="58" t="s">
        <v>19</v>
      </c>
      <c r="G440" s="58" t="s">
        <v>23</v>
      </c>
      <c r="H440" s="58" t="s">
        <v>20</v>
      </c>
      <c r="I440" s="58" t="s">
        <v>25</v>
      </c>
      <c r="J440" s="58" t="s">
        <v>19</v>
      </c>
      <c r="K440" s="58" t="s">
        <v>19</v>
      </c>
      <c r="L440" s="58" t="s">
        <v>21</v>
      </c>
      <c r="M440" s="58" t="s">
        <v>38</v>
      </c>
      <c r="N440" s="58" t="s">
        <v>19</v>
      </c>
      <c r="O440" s="58" t="s">
        <v>25</v>
      </c>
      <c r="P440" s="58" t="s">
        <v>23</v>
      </c>
      <c r="Q440" s="58" t="s">
        <v>40</v>
      </c>
      <c r="R440" s="160"/>
      <c r="S440" s="68" t="s">
        <v>0</v>
      </c>
      <c r="T440" s="1">
        <v>378.1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4">
        <f t="shared" si="85"/>
        <v>378.1</v>
      </c>
      <c r="AB440" s="63">
        <v>2018</v>
      </c>
      <c r="AC440" s="9"/>
      <c r="AD440" s="109"/>
      <c r="AE440" s="109"/>
    </row>
    <row r="441" spans="1:31" ht="27.6" hidden="1" customHeight="1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97" t="s">
        <v>265</v>
      </c>
      <c r="S441" s="96" t="s">
        <v>184</v>
      </c>
      <c r="T441" s="3">
        <v>500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/>
      <c r="AA441" s="6">
        <f t="shared" si="85"/>
        <v>500</v>
      </c>
      <c r="AB441" s="42">
        <v>2018</v>
      </c>
      <c r="AC441" s="9"/>
      <c r="AD441" s="109"/>
      <c r="AE441" s="109"/>
    </row>
    <row r="442" spans="1:31" ht="17.25" hidden="1" customHeight="1" x14ac:dyDescent="0.2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158" t="s">
        <v>266</v>
      </c>
      <c r="S442" s="68" t="s">
        <v>0</v>
      </c>
      <c r="T442" s="1">
        <f>SUM(T443:T446)</f>
        <v>811.21499999999992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4">
        <f t="shared" si="85"/>
        <v>811.21499999999992</v>
      </c>
      <c r="AB442" s="63">
        <v>2018</v>
      </c>
      <c r="AC442" s="9"/>
      <c r="AD442" s="109"/>
      <c r="AE442" s="109"/>
    </row>
    <row r="443" spans="1:31" ht="15.6" hidden="1" customHeight="1" x14ac:dyDescent="0.25">
      <c r="A443" s="58" t="s">
        <v>19</v>
      </c>
      <c r="B443" s="58" t="s">
        <v>19</v>
      </c>
      <c r="C443" s="58" t="s">
        <v>26</v>
      </c>
      <c r="D443" s="58" t="s">
        <v>19</v>
      </c>
      <c r="E443" s="58" t="s">
        <v>22</v>
      </c>
      <c r="F443" s="58" t="s">
        <v>19</v>
      </c>
      <c r="G443" s="58" t="s">
        <v>23</v>
      </c>
      <c r="H443" s="58" t="s">
        <v>20</v>
      </c>
      <c r="I443" s="58" t="s">
        <v>25</v>
      </c>
      <c r="J443" s="58" t="s">
        <v>19</v>
      </c>
      <c r="K443" s="58" t="s">
        <v>19</v>
      </c>
      <c r="L443" s="58" t="s">
        <v>21</v>
      </c>
      <c r="M443" s="58" t="s">
        <v>20</v>
      </c>
      <c r="N443" s="58" t="s">
        <v>19</v>
      </c>
      <c r="O443" s="58" t="s">
        <v>25</v>
      </c>
      <c r="P443" s="58" t="s">
        <v>23</v>
      </c>
      <c r="Q443" s="58" t="s">
        <v>46</v>
      </c>
      <c r="R443" s="159"/>
      <c r="S443" s="68" t="s">
        <v>0</v>
      </c>
      <c r="T443" s="1">
        <v>324.51499999999999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4">
        <f t="shared" si="85"/>
        <v>324.51499999999999</v>
      </c>
      <c r="AB443" s="63">
        <v>2018</v>
      </c>
      <c r="AC443" s="9"/>
      <c r="AD443" s="109"/>
      <c r="AE443" s="109"/>
    </row>
    <row r="444" spans="1:31" ht="15.6" hidden="1" customHeight="1" x14ac:dyDescent="0.25">
      <c r="A444" s="58" t="s">
        <v>19</v>
      </c>
      <c r="B444" s="58" t="s">
        <v>19</v>
      </c>
      <c r="C444" s="58" t="s">
        <v>26</v>
      </c>
      <c r="D444" s="58" t="s">
        <v>19</v>
      </c>
      <c r="E444" s="58" t="s">
        <v>22</v>
      </c>
      <c r="F444" s="58" t="s">
        <v>19</v>
      </c>
      <c r="G444" s="58" t="s">
        <v>23</v>
      </c>
      <c r="H444" s="58" t="s">
        <v>20</v>
      </c>
      <c r="I444" s="58" t="s">
        <v>25</v>
      </c>
      <c r="J444" s="58" t="s">
        <v>19</v>
      </c>
      <c r="K444" s="58" t="s">
        <v>19</v>
      </c>
      <c r="L444" s="58" t="s">
        <v>21</v>
      </c>
      <c r="M444" s="58" t="s">
        <v>38</v>
      </c>
      <c r="N444" s="58" t="s">
        <v>19</v>
      </c>
      <c r="O444" s="58" t="s">
        <v>25</v>
      </c>
      <c r="P444" s="58" t="s">
        <v>23</v>
      </c>
      <c r="Q444" s="58" t="s">
        <v>47</v>
      </c>
      <c r="R444" s="159"/>
      <c r="S444" s="68" t="s">
        <v>0</v>
      </c>
      <c r="T444" s="1">
        <v>15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64">
        <f t="shared" si="85"/>
        <v>15</v>
      </c>
      <c r="AB444" s="63">
        <v>2018</v>
      </c>
      <c r="AC444" s="9"/>
      <c r="AD444" s="109"/>
      <c r="AE444" s="109"/>
    </row>
    <row r="445" spans="1:31" ht="15.6" hidden="1" customHeight="1" x14ac:dyDescent="0.25">
      <c r="A445" s="58" t="s">
        <v>19</v>
      </c>
      <c r="B445" s="58" t="s">
        <v>19</v>
      </c>
      <c r="C445" s="58" t="s">
        <v>26</v>
      </c>
      <c r="D445" s="58" t="s">
        <v>19</v>
      </c>
      <c r="E445" s="58" t="s">
        <v>22</v>
      </c>
      <c r="F445" s="58" t="s">
        <v>19</v>
      </c>
      <c r="G445" s="58" t="s">
        <v>23</v>
      </c>
      <c r="H445" s="58" t="s">
        <v>20</v>
      </c>
      <c r="I445" s="58" t="s">
        <v>25</v>
      </c>
      <c r="J445" s="58" t="s">
        <v>19</v>
      </c>
      <c r="K445" s="58" t="s">
        <v>19</v>
      </c>
      <c r="L445" s="58" t="s">
        <v>21</v>
      </c>
      <c r="M445" s="58" t="s">
        <v>38</v>
      </c>
      <c r="N445" s="58" t="s">
        <v>19</v>
      </c>
      <c r="O445" s="58" t="s">
        <v>25</v>
      </c>
      <c r="P445" s="58" t="s">
        <v>23</v>
      </c>
      <c r="Q445" s="58" t="s">
        <v>47</v>
      </c>
      <c r="R445" s="159"/>
      <c r="S445" s="68" t="s">
        <v>0</v>
      </c>
      <c r="T445" s="1">
        <v>170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4">
        <f t="shared" si="85"/>
        <v>170</v>
      </c>
      <c r="AB445" s="63">
        <v>2018</v>
      </c>
      <c r="AC445" s="9"/>
      <c r="AD445" s="109"/>
      <c r="AE445" s="109"/>
    </row>
    <row r="446" spans="1:31" ht="15.6" hidden="1" customHeight="1" x14ac:dyDescent="0.25">
      <c r="A446" s="58" t="s">
        <v>19</v>
      </c>
      <c r="B446" s="58" t="s">
        <v>19</v>
      </c>
      <c r="C446" s="58" t="s">
        <v>26</v>
      </c>
      <c r="D446" s="58" t="s">
        <v>19</v>
      </c>
      <c r="E446" s="58" t="s">
        <v>22</v>
      </c>
      <c r="F446" s="58" t="s">
        <v>19</v>
      </c>
      <c r="G446" s="58" t="s">
        <v>23</v>
      </c>
      <c r="H446" s="58" t="s">
        <v>20</v>
      </c>
      <c r="I446" s="58" t="s">
        <v>25</v>
      </c>
      <c r="J446" s="58" t="s">
        <v>19</v>
      </c>
      <c r="K446" s="58" t="s">
        <v>19</v>
      </c>
      <c r="L446" s="58" t="s">
        <v>21</v>
      </c>
      <c r="M446" s="58" t="s">
        <v>38</v>
      </c>
      <c r="N446" s="58" t="s">
        <v>19</v>
      </c>
      <c r="O446" s="58" t="s">
        <v>25</v>
      </c>
      <c r="P446" s="58" t="s">
        <v>23</v>
      </c>
      <c r="Q446" s="58" t="s">
        <v>40</v>
      </c>
      <c r="R446" s="160"/>
      <c r="S446" s="68" t="s">
        <v>0</v>
      </c>
      <c r="T446" s="1">
        <v>301.7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4">
        <f t="shared" si="85"/>
        <v>301.7</v>
      </c>
      <c r="AB446" s="63">
        <v>2018</v>
      </c>
      <c r="AC446" s="9"/>
      <c r="AD446" s="109"/>
      <c r="AE446" s="109"/>
    </row>
    <row r="447" spans="1:31" ht="31.15" hidden="1" customHeight="1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85" t="s">
        <v>267</v>
      </c>
      <c r="S447" s="91" t="s">
        <v>8</v>
      </c>
      <c r="T447" s="45">
        <v>1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  <c r="Z447" s="45"/>
      <c r="AA447" s="53">
        <f t="shared" si="85"/>
        <v>1</v>
      </c>
      <c r="AB447" s="42">
        <v>2018</v>
      </c>
      <c r="AC447" s="9"/>
      <c r="AD447" s="109"/>
      <c r="AE447" s="109"/>
    </row>
    <row r="448" spans="1:31" ht="15.6" hidden="1" customHeight="1" x14ac:dyDescent="0.2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158" t="s">
        <v>268</v>
      </c>
      <c r="S448" s="68" t="s">
        <v>0</v>
      </c>
      <c r="T448" s="1">
        <f>SUM(T449:T452)</f>
        <v>1054.8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4">
        <f t="shared" si="85"/>
        <v>1054.8</v>
      </c>
      <c r="AB448" s="63">
        <v>2018</v>
      </c>
      <c r="AC448" s="9"/>
      <c r="AD448" s="109"/>
      <c r="AE448" s="109"/>
    </row>
    <row r="449" spans="1:31" ht="15.6" hidden="1" customHeight="1" x14ac:dyDescent="0.25">
      <c r="A449" s="58" t="s">
        <v>19</v>
      </c>
      <c r="B449" s="58" t="s">
        <v>19</v>
      </c>
      <c r="C449" s="58" t="s">
        <v>26</v>
      </c>
      <c r="D449" s="58" t="s">
        <v>19</v>
      </c>
      <c r="E449" s="58" t="s">
        <v>22</v>
      </c>
      <c r="F449" s="58" t="s">
        <v>19</v>
      </c>
      <c r="G449" s="58" t="s">
        <v>23</v>
      </c>
      <c r="H449" s="58" t="s">
        <v>20</v>
      </c>
      <c r="I449" s="58" t="s">
        <v>25</v>
      </c>
      <c r="J449" s="58" t="s">
        <v>19</v>
      </c>
      <c r="K449" s="58" t="s">
        <v>19</v>
      </c>
      <c r="L449" s="58" t="s">
        <v>21</v>
      </c>
      <c r="M449" s="58" t="s">
        <v>20</v>
      </c>
      <c r="N449" s="58" t="s">
        <v>19</v>
      </c>
      <c r="O449" s="58" t="s">
        <v>25</v>
      </c>
      <c r="P449" s="58" t="s">
        <v>23</v>
      </c>
      <c r="Q449" s="58" t="s">
        <v>46</v>
      </c>
      <c r="R449" s="159"/>
      <c r="S449" s="68" t="s">
        <v>0</v>
      </c>
      <c r="T449" s="1">
        <v>396.1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4">
        <f t="shared" si="85"/>
        <v>396.1</v>
      </c>
      <c r="AB449" s="63">
        <v>2018</v>
      </c>
      <c r="AC449" s="9"/>
      <c r="AD449" s="109"/>
      <c r="AE449" s="109"/>
    </row>
    <row r="450" spans="1:31" ht="15.6" hidden="1" customHeight="1" x14ac:dyDescent="0.25">
      <c r="A450" s="58" t="s">
        <v>19</v>
      </c>
      <c r="B450" s="58" t="s">
        <v>19</v>
      </c>
      <c r="C450" s="58" t="s">
        <v>26</v>
      </c>
      <c r="D450" s="58" t="s">
        <v>19</v>
      </c>
      <c r="E450" s="58" t="s">
        <v>22</v>
      </c>
      <c r="F450" s="58" t="s">
        <v>19</v>
      </c>
      <c r="G450" s="58" t="s">
        <v>23</v>
      </c>
      <c r="H450" s="58" t="s">
        <v>20</v>
      </c>
      <c r="I450" s="58" t="s">
        <v>25</v>
      </c>
      <c r="J450" s="58" t="s">
        <v>19</v>
      </c>
      <c r="K450" s="58" t="s">
        <v>19</v>
      </c>
      <c r="L450" s="58" t="s">
        <v>21</v>
      </c>
      <c r="M450" s="58" t="s">
        <v>38</v>
      </c>
      <c r="N450" s="58" t="s">
        <v>19</v>
      </c>
      <c r="O450" s="58" t="s">
        <v>25</v>
      </c>
      <c r="P450" s="58" t="s">
        <v>23</v>
      </c>
      <c r="Q450" s="58" t="s">
        <v>47</v>
      </c>
      <c r="R450" s="159"/>
      <c r="S450" s="68" t="s">
        <v>0</v>
      </c>
      <c r="T450" s="1">
        <v>5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64">
        <f t="shared" si="85"/>
        <v>5</v>
      </c>
      <c r="AB450" s="63">
        <v>2018</v>
      </c>
      <c r="AC450" s="9"/>
      <c r="AD450" s="109"/>
      <c r="AE450" s="109"/>
    </row>
    <row r="451" spans="1:31" ht="15.6" hidden="1" customHeight="1" x14ac:dyDescent="0.25">
      <c r="A451" s="58" t="s">
        <v>19</v>
      </c>
      <c r="B451" s="58" t="s">
        <v>19</v>
      </c>
      <c r="C451" s="58" t="s">
        <v>26</v>
      </c>
      <c r="D451" s="58" t="s">
        <v>19</v>
      </c>
      <c r="E451" s="58" t="s">
        <v>22</v>
      </c>
      <c r="F451" s="58" t="s">
        <v>19</v>
      </c>
      <c r="G451" s="58" t="s">
        <v>23</v>
      </c>
      <c r="H451" s="58" t="s">
        <v>20</v>
      </c>
      <c r="I451" s="58" t="s">
        <v>25</v>
      </c>
      <c r="J451" s="58" t="s">
        <v>19</v>
      </c>
      <c r="K451" s="58" t="s">
        <v>19</v>
      </c>
      <c r="L451" s="58" t="s">
        <v>21</v>
      </c>
      <c r="M451" s="58" t="s">
        <v>38</v>
      </c>
      <c r="N451" s="58" t="s">
        <v>19</v>
      </c>
      <c r="O451" s="58" t="s">
        <v>25</v>
      </c>
      <c r="P451" s="58" t="s">
        <v>23</v>
      </c>
      <c r="Q451" s="58" t="s">
        <v>47</v>
      </c>
      <c r="R451" s="159"/>
      <c r="S451" s="68" t="s">
        <v>0</v>
      </c>
      <c r="T451" s="1">
        <v>253.7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4">
        <f t="shared" si="85"/>
        <v>253.7</v>
      </c>
      <c r="AB451" s="63">
        <v>2018</v>
      </c>
      <c r="AC451" s="9"/>
      <c r="AD451" s="109"/>
      <c r="AE451" s="109"/>
    </row>
    <row r="452" spans="1:31" ht="15.6" hidden="1" customHeight="1" x14ac:dyDescent="0.25">
      <c r="A452" s="58" t="s">
        <v>19</v>
      </c>
      <c r="B452" s="58" t="s">
        <v>19</v>
      </c>
      <c r="C452" s="58" t="s">
        <v>26</v>
      </c>
      <c r="D452" s="58" t="s">
        <v>19</v>
      </c>
      <c r="E452" s="58" t="s">
        <v>22</v>
      </c>
      <c r="F452" s="58" t="s">
        <v>19</v>
      </c>
      <c r="G452" s="58" t="s">
        <v>23</v>
      </c>
      <c r="H452" s="58" t="s">
        <v>20</v>
      </c>
      <c r="I452" s="58" t="s">
        <v>25</v>
      </c>
      <c r="J452" s="58" t="s">
        <v>19</v>
      </c>
      <c r="K452" s="58" t="s">
        <v>19</v>
      </c>
      <c r="L452" s="58" t="s">
        <v>21</v>
      </c>
      <c r="M452" s="58" t="s">
        <v>38</v>
      </c>
      <c r="N452" s="58" t="s">
        <v>19</v>
      </c>
      <c r="O452" s="58" t="s">
        <v>25</v>
      </c>
      <c r="P452" s="58" t="s">
        <v>23</v>
      </c>
      <c r="Q452" s="58" t="s">
        <v>40</v>
      </c>
      <c r="R452" s="160"/>
      <c r="S452" s="68" t="s">
        <v>0</v>
      </c>
      <c r="T452" s="1">
        <v>400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4">
        <f t="shared" si="85"/>
        <v>400</v>
      </c>
      <c r="AB452" s="63">
        <v>2018</v>
      </c>
      <c r="AC452" s="9"/>
      <c r="AD452" s="109"/>
      <c r="AE452" s="109"/>
    </row>
    <row r="453" spans="1:31" ht="31.15" hidden="1" customHeight="1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85" t="s">
        <v>269</v>
      </c>
      <c r="S453" s="91" t="s">
        <v>8</v>
      </c>
      <c r="T453" s="45">
        <v>1</v>
      </c>
      <c r="U453" s="45">
        <v>0</v>
      </c>
      <c r="V453" s="45">
        <v>0</v>
      </c>
      <c r="W453" s="45">
        <v>0</v>
      </c>
      <c r="X453" s="45">
        <v>0</v>
      </c>
      <c r="Y453" s="45">
        <v>0</v>
      </c>
      <c r="Z453" s="45"/>
      <c r="AA453" s="53">
        <f>SUM(T453:Y453)</f>
        <v>1</v>
      </c>
      <c r="AB453" s="42">
        <v>2018</v>
      </c>
      <c r="AC453" s="9"/>
      <c r="AD453" s="109"/>
      <c r="AE453" s="109"/>
    </row>
    <row r="454" spans="1:31" ht="47.25" x14ac:dyDescent="0.25">
      <c r="A454" s="58" t="s">
        <v>19</v>
      </c>
      <c r="B454" s="58" t="s">
        <v>20</v>
      </c>
      <c r="C454" s="58" t="s">
        <v>21</v>
      </c>
      <c r="D454" s="58" t="s">
        <v>19</v>
      </c>
      <c r="E454" s="58" t="s">
        <v>25</v>
      </c>
      <c r="F454" s="58" t="s">
        <v>19</v>
      </c>
      <c r="G454" s="58" t="s">
        <v>44</v>
      </c>
      <c r="H454" s="58" t="s">
        <v>20</v>
      </c>
      <c r="I454" s="58" t="s">
        <v>25</v>
      </c>
      <c r="J454" s="58" t="s">
        <v>19</v>
      </c>
      <c r="K454" s="58" t="s">
        <v>19</v>
      </c>
      <c r="L454" s="58" t="s">
        <v>21</v>
      </c>
      <c r="M454" s="58" t="s">
        <v>38</v>
      </c>
      <c r="N454" s="58" t="s">
        <v>19</v>
      </c>
      <c r="O454" s="58" t="s">
        <v>25</v>
      </c>
      <c r="P454" s="58" t="s">
        <v>23</v>
      </c>
      <c r="Q454" s="58" t="s">
        <v>19</v>
      </c>
      <c r="R454" s="82" t="s">
        <v>143</v>
      </c>
      <c r="S454" s="60" t="s">
        <v>0</v>
      </c>
      <c r="T454" s="1">
        <f>10000-9745-255</f>
        <v>0</v>
      </c>
      <c r="U454" s="1">
        <f>226.8-200</f>
        <v>26.800000000000011</v>
      </c>
      <c r="V454" s="1">
        <v>8228.2999999999993</v>
      </c>
      <c r="W454" s="1">
        <v>8228.2999999999993</v>
      </c>
      <c r="X454" s="1">
        <v>8228.2999999999993</v>
      </c>
      <c r="Y454" s="1">
        <v>8228.2999999999993</v>
      </c>
      <c r="Z454" s="1">
        <v>8228.2999999999993</v>
      </c>
      <c r="AA454" s="64">
        <f t="shared" ref="AA454:AA473" si="86">SUM(T454:Z454)</f>
        <v>41168.300000000003</v>
      </c>
      <c r="AB454" s="63">
        <v>2024</v>
      </c>
      <c r="AC454" s="127"/>
      <c r="AD454" s="109"/>
      <c r="AE454" s="109"/>
    </row>
    <row r="455" spans="1:31" ht="64.900000000000006" customHeight="1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83" t="s">
        <v>341</v>
      </c>
      <c r="S455" s="67" t="s">
        <v>53</v>
      </c>
      <c r="T455" s="3">
        <v>0</v>
      </c>
      <c r="U455" s="3">
        <v>0</v>
      </c>
      <c r="V455" s="3">
        <v>7</v>
      </c>
      <c r="W455" s="3">
        <v>7</v>
      </c>
      <c r="X455" s="3">
        <v>7</v>
      </c>
      <c r="Y455" s="3">
        <v>7</v>
      </c>
      <c r="Z455" s="3">
        <v>7</v>
      </c>
      <c r="AA455" s="6">
        <f t="shared" si="86"/>
        <v>35</v>
      </c>
      <c r="AB455" s="42">
        <v>2024</v>
      </c>
      <c r="AC455" s="137"/>
      <c r="AD455" s="109"/>
      <c r="AE455" s="109"/>
    </row>
    <row r="456" spans="1:31" ht="66" customHeight="1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83" t="s">
        <v>342</v>
      </c>
      <c r="S456" s="67" t="s">
        <v>39</v>
      </c>
      <c r="T456" s="45">
        <v>0</v>
      </c>
      <c r="U456" s="45">
        <v>0</v>
      </c>
      <c r="V456" s="45">
        <v>7</v>
      </c>
      <c r="W456" s="45">
        <v>7</v>
      </c>
      <c r="X456" s="45">
        <v>7</v>
      </c>
      <c r="Y456" s="45">
        <v>7</v>
      </c>
      <c r="Z456" s="45">
        <v>7</v>
      </c>
      <c r="AA456" s="53">
        <f t="shared" si="86"/>
        <v>35</v>
      </c>
      <c r="AB456" s="42">
        <v>2024</v>
      </c>
      <c r="AC456" s="137"/>
      <c r="AD456" s="109"/>
      <c r="AE456" s="109"/>
    </row>
    <row r="457" spans="1:31" s="55" customFormat="1" ht="78.75" x14ac:dyDescent="0.25">
      <c r="A457" s="58"/>
      <c r="B457" s="58"/>
      <c r="C457" s="58"/>
      <c r="D457" s="58" t="s">
        <v>19</v>
      </c>
      <c r="E457" s="58" t="s">
        <v>22</v>
      </c>
      <c r="F457" s="58" t="s">
        <v>19</v>
      </c>
      <c r="G457" s="58" t="s">
        <v>23</v>
      </c>
      <c r="H457" s="58" t="s">
        <v>20</v>
      </c>
      <c r="I457" s="58" t="s">
        <v>25</v>
      </c>
      <c r="J457" s="58" t="s">
        <v>19</v>
      </c>
      <c r="K457" s="58" t="s">
        <v>274</v>
      </c>
      <c r="L457" s="58" t="s">
        <v>21</v>
      </c>
      <c r="M457" s="58" t="s">
        <v>22</v>
      </c>
      <c r="N457" s="58" t="s">
        <v>22</v>
      </c>
      <c r="O457" s="58" t="s">
        <v>22</v>
      </c>
      <c r="P457" s="58" t="s">
        <v>22</v>
      </c>
      <c r="Q457" s="58" t="s">
        <v>21</v>
      </c>
      <c r="R457" s="143" t="s">
        <v>303</v>
      </c>
      <c r="S457" s="63" t="s">
        <v>0</v>
      </c>
      <c r="T457" s="64">
        <f>T460+T463+T466+T469</f>
        <v>0</v>
      </c>
      <c r="U457" s="64">
        <f t="shared" ref="U457:X457" si="87">U460+U463+U466+U469</f>
        <v>0</v>
      </c>
      <c r="V457" s="64">
        <f t="shared" si="87"/>
        <v>10762</v>
      </c>
      <c r="W457" s="64">
        <f t="shared" si="87"/>
        <v>10762</v>
      </c>
      <c r="X457" s="64">
        <f t="shared" si="87"/>
        <v>10762</v>
      </c>
      <c r="Y457" s="64">
        <f>Y460+Y463+Y466+Y469</f>
        <v>10762</v>
      </c>
      <c r="Z457" s="64">
        <f t="shared" ref="Z457" si="88">Z460+Z463+Z466+Z469</f>
        <v>10762</v>
      </c>
      <c r="AA457" s="64">
        <f t="shared" si="86"/>
        <v>53810</v>
      </c>
      <c r="AB457" s="63">
        <v>2024</v>
      </c>
      <c r="AC457" s="33"/>
      <c r="AD457" s="54"/>
    </row>
    <row r="458" spans="1:31" s="55" customFormat="1" ht="47.25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1" t="s">
        <v>246</v>
      </c>
      <c r="S458" s="56" t="s">
        <v>39</v>
      </c>
      <c r="T458" s="45">
        <f>T461+T464+T467+T470</f>
        <v>0</v>
      </c>
      <c r="U458" s="45">
        <f t="shared" ref="U458:X458" si="89">U461+U464+U467+U470</f>
        <v>0</v>
      </c>
      <c r="V458" s="45">
        <f t="shared" si="89"/>
        <v>30</v>
      </c>
      <c r="W458" s="45">
        <f t="shared" si="89"/>
        <v>30</v>
      </c>
      <c r="X458" s="45">
        <f t="shared" si="89"/>
        <v>30</v>
      </c>
      <c r="Y458" s="45">
        <f t="shared" ref="Y458:Z458" si="90">Y461+Y464+Y467+Y470</f>
        <v>30</v>
      </c>
      <c r="Z458" s="45">
        <f t="shared" si="90"/>
        <v>30</v>
      </c>
      <c r="AA458" s="53">
        <f t="shared" si="86"/>
        <v>150</v>
      </c>
      <c r="AB458" s="147">
        <v>2024</v>
      </c>
      <c r="AC458" s="33"/>
      <c r="AD458" s="54"/>
    </row>
    <row r="459" spans="1:31" s="8" customFormat="1" ht="47.25" x14ac:dyDescent="0.2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66" t="s">
        <v>247</v>
      </c>
      <c r="S459" s="67" t="s">
        <v>53</v>
      </c>
      <c r="T459" s="67">
        <f>T462+T465+T468+T471</f>
        <v>0</v>
      </c>
      <c r="U459" s="67">
        <f>U462+U465+U468+U471</f>
        <v>0</v>
      </c>
      <c r="V459" s="67">
        <f t="shared" ref="V459:X459" si="91">V462+V465+V468+V471</f>
        <v>58.2</v>
      </c>
      <c r="W459" s="67">
        <f t="shared" si="91"/>
        <v>58.2</v>
      </c>
      <c r="X459" s="67">
        <f t="shared" si="91"/>
        <v>58.2</v>
      </c>
      <c r="Y459" s="67">
        <f t="shared" ref="Y459:Z459" si="92">Y462+Y465+Y468+Y471</f>
        <v>58.2</v>
      </c>
      <c r="Z459" s="67">
        <f t="shared" si="92"/>
        <v>58.2</v>
      </c>
      <c r="AA459" s="57">
        <f t="shared" si="86"/>
        <v>291</v>
      </c>
      <c r="AB459" s="147">
        <v>2024</v>
      </c>
      <c r="AC459" s="33"/>
      <c r="AD459" s="65"/>
    </row>
    <row r="460" spans="1:31" s="55" customFormat="1" ht="78.75" x14ac:dyDescent="0.25">
      <c r="A460" s="58" t="s">
        <v>19</v>
      </c>
      <c r="B460" s="58" t="s">
        <v>19</v>
      </c>
      <c r="C460" s="58" t="s">
        <v>23</v>
      </c>
      <c r="D460" s="58" t="s">
        <v>19</v>
      </c>
      <c r="E460" s="58" t="s">
        <v>22</v>
      </c>
      <c r="F460" s="58" t="s">
        <v>19</v>
      </c>
      <c r="G460" s="58" t="s">
        <v>23</v>
      </c>
      <c r="H460" s="58" t="s">
        <v>20</v>
      </c>
      <c r="I460" s="58" t="s">
        <v>25</v>
      </c>
      <c r="J460" s="58" t="s">
        <v>19</v>
      </c>
      <c r="K460" s="58" t="s">
        <v>274</v>
      </c>
      <c r="L460" s="58" t="s">
        <v>21</v>
      </c>
      <c r="M460" s="58" t="s">
        <v>22</v>
      </c>
      <c r="N460" s="58" t="s">
        <v>22</v>
      </c>
      <c r="O460" s="58" t="s">
        <v>22</v>
      </c>
      <c r="P460" s="58" t="s">
        <v>22</v>
      </c>
      <c r="Q460" s="58" t="s">
        <v>21</v>
      </c>
      <c r="R460" s="143" t="s">
        <v>303</v>
      </c>
      <c r="S460" s="60" t="s">
        <v>0</v>
      </c>
      <c r="T460" s="1">
        <v>0</v>
      </c>
      <c r="U460" s="1">
        <f>3100.4-200-2900.4</f>
        <v>0</v>
      </c>
      <c r="V460" s="1">
        <v>3100.4</v>
      </c>
      <c r="W460" s="1">
        <v>3100.4</v>
      </c>
      <c r="X460" s="1">
        <v>3100.4</v>
      </c>
      <c r="Y460" s="1">
        <v>3100.4</v>
      </c>
      <c r="Z460" s="1">
        <v>3100.4</v>
      </c>
      <c r="AA460" s="64">
        <f t="shared" si="86"/>
        <v>15502</v>
      </c>
      <c r="AB460" s="63">
        <v>2024</v>
      </c>
      <c r="AC460" s="33"/>
      <c r="AD460" s="54"/>
    </row>
    <row r="461" spans="1:31" s="55" customFormat="1" ht="47.25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1" t="s">
        <v>136</v>
      </c>
      <c r="S461" s="56" t="s">
        <v>39</v>
      </c>
      <c r="T461" s="45">
        <v>0</v>
      </c>
      <c r="U461" s="45">
        <v>0</v>
      </c>
      <c r="V461" s="45">
        <v>12</v>
      </c>
      <c r="W461" s="45">
        <v>12</v>
      </c>
      <c r="X461" s="45">
        <v>12</v>
      </c>
      <c r="Y461" s="45">
        <v>12</v>
      </c>
      <c r="Z461" s="45">
        <v>12</v>
      </c>
      <c r="AA461" s="53">
        <f t="shared" si="86"/>
        <v>60</v>
      </c>
      <c r="AB461" s="147">
        <v>2024</v>
      </c>
      <c r="AC461" s="33"/>
      <c r="AD461" s="54"/>
    </row>
    <row r="462" spans="1:31" s="55" customFormat="1" ht="47.25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1" t="s">
        <v>137</v>
      </c>
      <c r="S462" s="56" t="s">
        <v>53</v>
      </c>
      <c r="T462" s="45">
        <v>0</v>
      </c>
      <c r="U462" s="45">
        <v>0</v>
      </c>
      <c r="V462" s="45">
        <v>19</v>
      </c>
      <c r="W462" s="45">
        <v>19</v>
      </c>
      <c r="X462" s="45">
        <v>19</v>
      </c>
      <c r="Y462" s="45">
        <v>19</v>
      </c>
      <c r="Z462" s="45">
        <v>19</v>
      </c>
      <c r="AA462" s="57">
        <f t="shared" si="86"/>
        <v>95</v>
      </c>
      <c r="AB462" s="147">
        <v>2024</v>
      </c>
      <c r="AC462" s="33"/>
      <c r="AD462" s="54"/>
    </row>
    <row r="463" spans="1:31" s="55" customFormat="1" ht="78.75" x14ac:dyDescent="0.25">
      <c r="A463" s="58" t="s">
        <v>19</v>
      </c>
      <c r="B463" s="58" t="s">
        <v>19</v>
      </c>
      <c r="C463" s="58" t="s">
        <v>25</v>
      </c>
      <c r="D463" s="58" t="s">
        <v>19</v>
      </c>
      <c r="E463" s="58" t="s">
        <v>22</v>
      </c>
      <c r="F463" s="58" t="s">
        <v>19</v>
      </c>
      <c r="G463" s="58" t="s">
        <v>23</v>
      </c>
      <c r="H463" s="58" t="s">
        <v>20</v>
      </c>
      <c r="I463" s="58" t="s">
        <v>25</v>
      </c>
      <c r="J463" s="58" t="s">
        <v>19</v>
      </c>
      <c r="K463" s="58" t="s">
        <v>274</v>
      </c>
      <c r="L463" s="58" t="s">
        <v>21</v>
      </c>
      <c r="M463" s="58" t="s">
        <v>22</v>
      </c>
      <c r="N463" s="58" t="s">
        <v>22</v>
      </c>
      <c r="O463" s="58" t="s">
        <v>22</v>
      </c>
      <c r="P463" s="58" t="s">
        <v>22</v>
      </c>
      <c r="Q463" s="58" t="s">
        <v>21</v>
      </c>
      <c r="R463" s="143" t="s">
        <v>303</v>
      </c>
      <c r="S463" s="60" t="s">
        <v>0</v>
      </c>
      <c r="T463" s="1">
        <v>0</v>
      </c>
      <c r="U463" s="1">
        <f>2000-100-1900</f>
        <v>0</v>
      </c>
      <c r="V463" s="1">
        <v>2000</v>
      </c>
      <c r="W463" s="1">
        <v>2000</v>
      </c>
      <c r="X463" s="1">
        <v>2000</v>
      </c>
      <c r="Y463" s="1">
        <v>2000</v>
      </c>
      <c r="Z463" s="1">
        <v>2000</v>
      </c>
      <c r="AA463" s="64">
        <f t="shared" si="86"/>
        <v>10000</v>
      </c>
      <c r="AB463" s="63">
        <v>2024</v>
      </c>
      <c r="AC463" s="33"/>
      <c r="AD463" s="54"/>
    </row>
    <row r="464" spans="1:31" s="55" customFormat="1" ht="47.25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1" t="s">
        <v>283</v>
      </c>
      <c r="S464" s="56" t="s">
        <v>39</v>
      </c>
      <c r="T464" s="45">
        <v>0</v>
      </c>
      <c r="U464" s="45">
        <v>0</v>
      </c>
      <c r="V464" s="45">
        <v>9</v>
      </c>
      <c r="W464" s="45">
        <v>9</v>
      </c>
      <c r="X464" s="45">
        <v>9</v>
      </c>
      <c r="Y464" s="45">
        <v>9</v>
      </c>
      <c r="Z464" s="45">
        <v>9</v>
      </c>
      <c r="AA464" s="53">
        <f t="shared" si="86"/>
        <v>45</v>
      </c>
      <c r="AB464" s="147">
        <v>2024</v>
      </c>
      <c r="AC464" s="33"/>
      <c r="AD464" s="54"/>
    </row>
    <row r="465" spans="1:31" s="55" customFormat="1" ht="47.25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1" t="s">
        <v>284</v>
      </c>
      <c r="S465" s="56" t="s">
        <v>53</v>
      </c>
      <c r="T465" s="45">
        <v>0</v>
      </c>
      <c r="U465" s="3">
        <v>0</v>
      </c>
      <c r="V465" s="3">
        <v>14.3</v>
      </c>
      <c r="W465" s="3">
        <v>14.3</v>
      </c>
      <c r="X465" s="3">
        <v>14.3</v>
      </c>
      <c r="Y465" s="3">
        <v>14.3</v>
      </c>
      <c r="Z465" s="3">
        <v>14.3</v>
      </c>
      <c r="AA465" s="57">
        <f t="shared" si="86"/>
        <v>71.5</v>
      </c>
      <c r="AB465" s="147">
        <v>2024</v>
      </c>
      <c r="AC465" s="130"/>
      <c r="AD465" s="121"/>
    </row>
    <row r="466" spans="1:31" s="55" customFormat="1" ht="78.75" x14ac:dyDescent="0.25">
      <c r="A466" s="58" t="s">
        <v>19</v>
      </c>
      <c r="B466" s="58" t="s">
        <v>19</v>
      </c>
      <c r="C466" s="58" t="s">
        <v>22</v>
      </c>
      <c r="D466" s="58" t="s">
        <v>19</v>
      </c>
      <c r="E466" s="58" t="s">
        <v>22</v>
      </c>
      <c r="F466" s="58" t="s">
        <v>19</v>
      </c>
      <c r="G466" s="58" t="s">
        <v>23</v>
      </c>
      <c r="H466" s="58" t="s">
        <v>20</v>
      </c>
      <c r="I466" s="58" t="s">
        <v>25</v>
      </c>
      <c r="J466" s="58" t="s">
        <v>19</v>
      </c>
      <c r="K466" s="58" t="s">
        <v>274</v>
      </c>
      <c r="L466" s="58" t="s">
        <v>21</v>
      </c>
      <c r="M466" s="58" t="s">
        <v>22</v>
      </c>
      <c r="N466" s="58" t="s">
        <v>22</v>
      </c>
      <c r="O466" s="58" t="s">
        <v>22</v>
      </c>
      <c r="P466" s="58" t="s">
        <v>22</v>
      </c>
      <c r="Q466" s="58" t="s">
        <v>21</v>
      </c>
      <c r="R466" s="143" t="s">
        <v>294</v>
      </c>
      <c r="S466" s="60" t="s">
        <v>0</v>
      </c>
      <c r="T466" s="1">
        <v>0</v>
      </c>
      <c r="U466" s="1">
        <f>2860.5-100-2760.5</f>
        <v>0</v>
      </c>
      <c r="V466" s="1">
        <v>2860.5</v>
      </c>
      <c r="W466" s="1">
        <v>2860.5</v>
      </c>
      <c r="X466" s="1">
        <v>2860.5</v>
      </c>
      <c r="Y466" s="1">
        <v>2860.5</v>
      </c>
      <c r="Z466" s="1">
        <v>2860.5</v>
      </c>
      <c r="AA466" s="64">
        <f t="shared" si="86"/>
        <v>14302.5</v>
      </c>
      <c r="AB466" s="63">
        <v>2024</v>
      </c>
      <c r="AC466" s="33"/>
      <c r="AD466" s="54"/>
    </row>
    <row r="467" spans="1:31" s="55" customFormat="1" ht="47.25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1" t="s">
        <v>285</v>
      </c>
      <c r="S467" s="56" t="s">
        <v>39</v>
      </c>
      <c r="T467" s="45">
        <v>0</v>
      </c>
      <c r="U467" s="45">
        <v>0</v>
      </c>
      <c r="V467" s="45">
        <v>2</v>
      </c>
      <c r="W467" s="45">
        <v>2</v>
      </c>
      <c r="X467" s="45">
        <v>2</v>
      </c>
      <c r="Y467" s="45">
        <v>2</v>
      </c>
      <c r="Z467" s="45">
        <v>2</v>
      </c>
      <c r="AA467" s="53">
        <f t="shared" si="86"/>
        <v>10</v>
      </c>
      <c r="AB467" s="147">
        <v>2024</v>
      </c>
      <c r="AC467" s="33"/>
      <c r="AD467" s="54"/>
    </row>
    <row r="468" spans="1:31" s="55" customFormat="1" ht="47.25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1" t="s">
        <v>286</v>
      </c>
      <c r="S468" s="56" t="s">
        <v>53</v>
      </c>
      <c r="T468" s="45">
        <v>0</v>
      </c>
      <c r="U468" s="3">
        <v>0</v>
      </c>
      <c r="V468" s="3">
        <v>13.6</v>
      </c>
      <c r="W468" s="3">
        <v>13.6</v>
      </c>
      <c r="X468" s="3">
        <v>13.6</v>
      </c>
      <c r="Y468" s="3">
        <v>13.6</v>
      </c>
      <c r="Z468" s="3">
        <v>13.6</v>
      </c>
      <c r="AA468" s="57">
        <f t="shared" si="86"/>
        <v>68</v>
      </c>
      <c r="AB468" s="147">
        <v>2024</v>
      </c>
      <c r="AC468" s="33"/>
      <c r="AD468" s="54"/>
    </row>
    <row r="469" spans="1:31" s="55" customFormat="1" ht="78.75" x14ac:dyDescent="0.25">
      <c r="A469" s="58" t="s">
        <v>19</v>
      </c>
      <c r="B469" s="58" t="s">
        <v>19</v>
      </c>
      <c r="C469" s="58" t="s">
        <v>26</v>
      </c>
      <c r="D469" s="58" t="s">
        <v>19</v>
      </c>
      <c r="E469" s="58" t="s">
        <v>22</v>
      </c>
      <c r="F469" s="58" t="s">
        <v>19</v>
      </c>
      <c r="G469" s="58" t="s">
        <v>23</v>
      </c>
      <c r="H469" s="58" t="s">
        <v>20</v>
      </c>
      <c r="I469" s="58" t="s">
        <v>25</v>
      </c>
      <c r="J469" s="58" t="s">
        <v>19</v>
      </c>
      <c r="K469" s="58" t="s">
        <v>274</v>
      </c>
      <c r="L469" s="58" t="s">
        <v>21</v>
      </c>
      <c r="M469" s="58" t="s">
        <v>22</v>
      </c>
      <c r="N469" s="58" t="s">
        <v>22</v>
      </c>
      <c r="O469" s="58" t="s">
        <v>22</v>
      </c>
      <c r="P469" s="58" t="s">
        <v>22</v>
      </c>
      <c r="Q469" s="58" t="s">
        <v>21</v>
      </c>
      <c r="R469" s="143" t="s">
        <v>303</v>
      </c>
      <c r="S469" s="60" t="s">
        <v>0</v>
      </c>
      <c r="T469" s="1">
        <v>0</v>
      </c>
      <c r="U469" s="1">
        <f>2801.1-100-2701.1</f>
        <v>0</v>
      </c>
      <c r="V469" s="1">
        <v>2801.1</v>
      </c>
      <c r="W469" s="1">
        <v>2801.1</v>
      </c>
      <c r="X469" s="1">
        <v>2801.1</v>
      </c>
      <c r="Y469" s="1">
        <v>2801.1</v>
      </c>
      <c r="Z469" s="1">
        <v>2801.1</v>
      </c>
      <c r="AA469" s="64">
        <f t="shared" si="86"/>
        <v>14005.5</v>
      </c>
      <c r="AB469" s="63">
        <v>2024</v>
      </c>
      <c r="AC469" s="33"/>
      <c r="AD469" s="54"/>
    </row>
    <row r="470" spans="1:31" s="55" customFormat="1" ht="51" customHeight="1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1" t="s">
        <v>287</v>
      </c>
      <c r="S470" s="56" t="s">
        <v>39</v>
      </c>
      <c r="T470" s="45">
        <v>0</v>
      </c>
      <c r="U470" s="45">
        <v>0</v>
      </c>
      <c r="V470" s="45">
        <v>7</v>
      </c>
      <c r="W470" s="45">
        <v>7</v>
      </c>
      <c r="X470" s="45">
        <v>7</v>
      </c>
      <c r="Y470" s="45">
        <v>7</v>
      </c>
      <c r="Z470" s="45">
        <v>7</v>
      </c>
      <c r="AA470" s="53">
        <f t="shared" si="86"/>
        <v>35</v>
      </c>
      <c r="AB470" s="147">
        <v>2024</v>
      </c>
      <c r="AC470" s="33"/>
      <c r="AD470" s="54"/>
    </row>
    <row r="471" spans="1:31" s="55" customFormat="1" ht="47.25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1" t="s">
        <v>288</v>
      </c>
      <c r="S471" s="56" t="s">
        <v>53</v>
      </c>
      <c r="T471" s="45">
        <v>0</v>
      </c>
      <c r="U471" s="3">
        <v>0</v>
      </c>
      <c r="V471" s="3">
        <v>11.3</v>
      </c>
      <c r="W471" s="3">
        <v>11.3</v>
      </c>
      <c r="X471" s="3">
        <v>11.3</v>
      </c>
      <c r="Y471" s="3">
        <v>11.3</v>
      </c>
      <c r="Z471" s="3">
        <v>11.3</v>
      </c>
      <c r="AA471" s="57">
        <f t="shared" si="86"/>
        <v>56.5</v>
      </c>
      <c r="AB471" s="147">
        <v>2024</v>
      </c>
      <c r="AC471" s="33"/>
      <c r="AD471" s="54"/>
    </row>
    <row r="472" spans="1:31" ht="53.45" customHeight="1" x14ac:dyDescent="0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108" t="s">
        <v>56</v>
      </c>
      <c r="S472" s="51" t="s">
        <v>0</v>
      </c>
      <c r="T472" s="50">
        <f>T476++T486+T489+T510</f>
        <v>7230.2999999999993</v>
      </c>
      <c r="U472" s="50">
        <f>U476++U486+U489+U510+U522+U520+U524+U526</f>
        <v>13132.7</v>
      </c>
      <c r="V472" s="50">
        <f>V476++V486+V489+V510</f>
        <v>7150.3000000000011</v>
      </c>
      <c r="W472" s="50">
        <f>W476++W486+W489+W510</f>
        <v>7133.9000000000005</v>
      </c>
      <c r="X472" s="50">
        <f>X476++X486+X489+X510</f>
        <v>8781.3000000000011</v>
      </c>
      <c r="Y472" s="50">
        <f>Y476++Y486+Y489+Y510</f>
        <v>8781.3000000000011</v>
      </c>
      <c r="Z472" s="50">
        <f>Z476++Z486+Z489+Z510</f>
        <v>8781.3000000000011</v>
      </c>
      <c r="AA472" s="50">
        <f t="shared" si="86"/>
        <v>60991.100000000013</v>
      </c>
      <c r="AB472" s="51">
        <v>2024</v>
      </c>
      <c r="AC472" s="129"/>
    </row>
    <row r="473" spans="1:31" ht="35.450000000000003" customHeight="1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52" t="s">
        <v>144</v>
      </c>
      <c r="S473" s="147" t="s">
        <v>32</v>
      </c>
      <c r="T473" s="4">
        <f t="shared" ref="T473:Y473" si="93">T477</f>
        <v>10473.4</v>
      </c>
      <c r="U473" s="4">
        <f t="shared" si="93"/>
        <v>7867.7</v>
      </c>
      <c r="V473" s="4">
        <f t="shared" si="93"/>
        <v>7867.7</v>
      </c>
      <c r="W473" s="4">
        <f t="shared" si="93"/>
        <v>7867.7</v>
      </c>
      <c r="X473" s="4">
        <f t="shared" si="93"/>
        <v>7867.7</v>
      </c>
      <c r="Y473" s="4">
        <f t="shared" si="93"/>
        <v>7867.7</v>
      </c>
      <c r="Z473" s="4">
        <f t="shared" ref="Z473" si="94">Z477</f>
        <v>7867.7</v>
      </c>
      <c r="AA473" s="5">
        <f t="shared" si="86"/>
        <v>57679.599999999991</v>
      </c>
      <c r="AB473" s="147">
        <v>2024</v>
      </c>
      <c r="AC473" s="33"/>
    </row>
    <row r="474" spans="1:31" ht="31.5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52" t="s">
        <v>145</v>
      </c>
      <c r="S474" s="147" t="s">
        <v>51</v>
      </c>
      <c r="T474" s="45">
        <f t="shared" ref="T474:Y474" si="95">T490</f>
        <v>450</v>
      </c>
      <c r="U474" s="45">
        <f t="shared" si="95"/>
        <v>450</v>
      </c>
      <c r="V474" s="45">
        <f t="shared" si="95"/>
        <v>450</v>
      </c>
      <c r="W474" s="45">
        <f t="shared" si="95"/>
        <v>450</v>
      </c>
      <c r="X474" s="45">
        <f t="shared" si="95"/>
        <v>433</v>
      </c>
      <c r="Y474" s="45">
        <f t="shared" si="95"/>
        <v>433</v>
      </c>
      <c r="Z474" s="45">
        <f t="shared" ref="Z474" si="96">Z490</f>
        <v>433</v>
      </c>
      <c r="AA474" s="46">
        <f t="shared" ref="AA474:AA475" si="97">SUM(T474:Z474)</f>
        <v>3099</v>
      </c>
      <c r="AB474" s="147">
        <v>2024</v>
      </c>
      <c r="AC474" s="33"/>
    </row>
    <row r="475" spans="1:31" ht="63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52" t="s">
        <v>146</v>
      </c>
      <c r="S475" s="42" t="s">
        <v>39</v>
      </c>
      <c r="T475" s="45">
        <f t="shared" ref="T475:Y475" si="98">T511</f>
        <v>27</v>
      </c>
      <c r="U475" s="45">
        <f t="shared" si="98"/>
        <v>41</v>
      </c>
      <c r="V475" s="45">
        <f t="shared" si="98"/>
        <v>41</v>
      </c>
      <c r="W475" s="45">
        <f t="shared" si="98"/>
        <v>41</v>
      </c>
      <c r="X475" s="45">
        <f t="shared" si="98"/>
        <v>41</v>
      </c>
      <c r="Y475" s="45">
        <f t="shared" si="98"/>
        <v>41</v>
      </c>
      <c r="Z475" s="45">
        <f t="shared" ref="Z475" si="99">Z511</f>
        <v>41</v>
      </c>
      <c r="AA475" s="46">
        <f t="shared" si="97"/>
        <v>273</v>
      </c>
      <c r="AB475" s="42">
        <v>2024</v>
      </c>
      <c r="AC475" s="33"/>
    </row>
    <row r="476" spans="1:31" ht="47.25" x14ac:dyDescent="0.25">
      <c r="A476" s="58"/>
      <c r="B476" s="58"/>
      <c r="C476" s="58"/>
      <c r="D476" s="58" t="s">
        <v>19</v>
      </c>
      <c r="E476" s="58" t="s">
        <v>22</v>
      </c>
      <c r="F476" s="58" t="s">
        <v>19</v>
      </c>
      <c r="G476" s="58" t="s">
        <v>23</v>
      </c>
      <c r="H476" s="58" t="s">
        <v>20</v>
      </c>
      <c r="I476" s="58" t="s">
        <v>25</v>
      </c>
      <c r="J476" s="58" t="s">
        <v>19</v>
      </c>
      <c r="K476" s="58" t="s">
        <v>19</v>
      </c>
      <c r="L476" s="58" t="s">
        <v>23</v>
      </c>
      <c r="M476" s="58" t="s">
        <v>19</v>
      </c>
      <c r="N476" s="58" t="s">
        <v>19</v>
      </c>
      <c r="O476" s="58" t="s">
        <v>19</v>
      </c>
      <c r="P476" s="58" t="s">
        <v>19</v>
      </c>
      <c r="Q476" s="58" t="s">
        <v>19</v>
      </c>
      <c r="R476" s="82" t="s">
        <v>147</v>
      </c>
      <c r="S476" s="63" t="s">
        <v>0</v>
      </c>
      <c r="T476" s="64">
        <f>T478+T482+T480+T484</f>
        <v>5760.9</v>
      </c>
      <c r="U476" s="64">
        <f t="shared" ref="U476:Y476" si="100">U478+U482+U480+U484</f>
        <v>5478.6</v>
      </c>
      <c r="V476" s="64">
        <f t="shared" si="100"/>
        <v>5478.6</v>
      </c>
      <c r="W476" s="64">
        <f t="shared" si="100"/>
        <v>5478.6</v>
      </c>
      <c r="X476" s="64">
        <f t="shared" si="100"/>
        <v>5478.6</v>
      </c>
      <c r="Y476" s="64">
        <f t="shared" si="100"/>
        <v>5478.6</v>
      </c>
      <c r="Z476" s="64">
        <f t="shared" ref="Z476" si="101">Z478+Z482+Z480+Z484</f>
        <v>5478.6</v>
      </c>
      <c r="AA476" s="64">
        <f t="shared" ref="AA476:AA487" si="102">SUM(T476:Z476)</f>
        <v>38632.499999999993</v>
      </c>
      <c r="AB476" s="63">
        <v>2024</v>
      </c>
      <c r="AC476" s="129"/>
    </row>
    <row r="477" spans="1:31" ht="31.5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35" t="s">
        <v>144</v>
      </c>
      <c r="S477" s="147" t="s">
        <v>32</v>
      </c>
      <c r="T477" s="3">
        <f>T479+T481+T483+T485</f>
        <v>10473.4</v>
      </c>
      <c r="U477" s="3">
        <f t="shared" ref="U477:Y477" si="103">U479+U481+U483+U485</f>
        <v>7867.7</v>
      </c>
      <c r="V477" s="3">
        <f t="shared" si="103"/>
        <v>7867.7</v>
      </c>
      <c r="W477" s="3">
        <f t="shared" si="103"/>
        <v>7867.7</v>
      </c>
      <c r="X477" s="3">
        <f>X479+X481+X483+X485</f>
        <v>7867.7</v>
      </c>
      <c r="Y477" s="3">
        <f t="shared" si="103"/>
        <v>7867.7</v>
      </c>
      <c r="Z477" s="3">
        <f t="shared" ref="Z477" si="104">Z479+Z481+Z483+Z485</f>
        <v>7867.7</v>
      </c>
      <c r="AA477" s="5">
        <f t="shared" si="102"/>
        <v>57679.599999999991</v>
      </c>
      <c r="AB477" s="42">
        <v>2024</v>
      </c>
      <c r="AC477" s="132"/>
      <c r="AD477" s="110"/>
    </row>
    <row r="478" spans="1:31" ht="47.25" x14ac:dyDescent="0.25">
      <c r="A478" s="58" t="s">
        <v>19</v>
      </c>
      <c r="B478" s="58" t="s">
        <v>19</v>
      </c>
      <c r="C478" s="58" t="s">
        <v>23</v>
      </c>
      <c r="D478" s="58" t="s">
        <v>19</v>
      </c>
      <c r="E478" s="58" t="s">
        <v>22</v>
      </c>
      <c r="F478" s="58" t="s">
        <v>19</v>
      </c>
      <c r="G478" s="58" t="s">
        <v>23</v>
      </c>
      <c r="H478" s="58" t="s">
        <v>20</v>
      </c>
      <c r="I478" s="58" t="s">
        <v>25</v>
      </c>
      <c r="J478" s="58" t="s">
        <v>19</v>
      </c>
      <c r="K478" s="58" t="s">
        <v>19</v>
      </c>
      <c r="L478" s="58" t="s">
        <v>23</v>
      </c>
      <c r="M478" s="58" t="s">
        <v>19</v>
      </c>
      <c r="N478" s="58" t="s">
        <v>19</v>
      </c>
      <c r="O478" s="58" t="s">
        <v>19</v>
      </c>
      <c r="P478" s="58" t="s">
        <v>19</v>
      </c>
      <c r="Q478" s="58" t="s">
        <v>19</v>
      </c>
      <c r="R478" s="82" t="s">
        <v>148</v>
      </c>
      <c r="S478" s="60" t="s">
        <v>0</v>
      </c>
      <c r="T478" s="1">
        <f>3617.1-376.2-40-150</f>
        <v>3050.9</v>
      </c>
      <c r="U478" s="1">
        <v>2917.1</v>
      </c>
      <c r="V478" s="1">
        <v>2917.1</v>
      </c>
      <c r="W478" s="1">
        <v>2917.1</v>
      </c>
      <c r="X478" s="1">
        <v>2917.1</v>
      </c>
      <c r="Y478" s="1">
        <v>2917.1</v>
      </c>
      <c r="Z478" s="1">
        <v>2917.1</v>
      </c>
      <c r="AA478" s="64">
        <f t="shared" si="102"/>
        <v>20553.5</v>
      </c>
      <c r="AB478" s="63">
        <v>2024</v>
      </c>
      <c r="AC478" s="128"/>
      <c r="AD478" s="110"/>
      <c r="AE478" s="110"/>
    </row>
    <row r="479" spans="1:31" ht="47.25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66" t="s">
        <v>149</v>
      </c>
      <c r="S479" s="147" t="s">
        <v>32</v>
      </c>
      <c r="T479" s="3">
        <v>4849</v>
      </c>
      <c r="U479" s="3">
        <v>4307</v>
      </c>
      <c r="V479" s="3">
        <v>4307</v>
      </c>
      <c r="W479" s="3">
        <v>4307</v>
      </c>
      <c r="X479" s="3">
        <v>4307</v>
      </c>
      <c r="Y479" s="3">
        <v>4307</v>
      </c>
      <c r="Z479" s="3">
        <v>4307</v>
      </c>
      <c r="AA479" s="5">
        <f t="shared" si="102"/>
        <v>30691</v>
      </c>
      <c r="AB479" s="42">
        <v>2024</v>
      </c>
      <c r="AC479" s="132"/>
      <c r="AD479" s="110"/>
    </row>
    <row r="480" spans="1:31" ht="47.25" x14ac:dyDescent="0.25">
      <c r="A480" s="58" t="s">
        <v>19</v>
      </c>
      <c r="B480" s="58" t="s">
        <v>19</v>
      </c>
      <c r="C480" s="58" t="s">
        <v>25</v>
      </c>
      <c r="D480" s="58" t="s">
        <v>19</v>
      </c>
      <c r="E480" s="58" t="s">
        <v>22</v>
      </c>
      <c r="F480" s="58" t="s">
        <v>19</v>
      </c>
      <c r="G480" s="58" t="s">
        <v>23</v>
      </c>
      <c r="H480" s="58" t="s">
        <v>20</v>
      </c>
      <c r="I480" s="58" t="s">
        <v>25</v>
      </c>
      <c r="J480" s="58" t="s">
        <v>19</v>
      </c>
      <c r="K480" s="58" t="s">
        <v>19</v>
      </c>
      <c r="L480" s="58" t="s">
        <v>23</v>
      </c>
      <c r="M480" s="58" t="s">
        <v>19</v>
      </c>
      <c r="N480" s="58" t="s">
        <v>19</v>
      </c>
      <c r="O480" s="58" t="s">
        <v>19</v>
      </c>
      <c r="P480" s="58" t="s">
        <v>19</v>
      </c>
      <c r="Q480" s="58" t="s">
        <v>19</v>
      </c>
      <c r="R480" s="82" t="s">
        <v>150</v>
      </c>
      <c r="S480" s="60" t="s">
        <v>0</v>
      </c>
      <c r="T480" s="1">
        <f>398.5-63.6-24.8</f>
        <v>310.09999999999997</v>
      </c>
      <c r="U480" s="1">
        <v>398.5</v>
      </c>
      <c r="V480" s="1">
        <v>398.5</v>
      </c>
      <c r="W480" s="1">
        <v>398.5</v>
      </c>
      <c r="X480" s="1">
        <v>398.5</v>
      </c>
      <c r="Y480" s="1">
        <v>398.5</v>
      </c>
      <c r="Z480" s="1">
        <v>398.5</v>
      </c>
      <c r="AA480" s="64">
        <f t="shared" si="102"/>
        <v>2701.1</v>
      </c>
      <c r="AB480" s="63">
        <v>2024</v>
      </c>
      <c r="AC480" s="128"/>
      <c r="AD480" s="110"/>
    </row>
    <row r="481" spans="1:34" ht="47.25" x14ac:dyDescent="0.2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66" t="s">
        <v>151</v>
      </c>
      <c r="S481" s="147" t="s">
        <v>32</v>
      </c>
      <c r="T481" s="4">
        <v>421.4</v>
      </c>
      <c r="U481" s="4">
        <v>529.70000000000005</v>
      </c>
      <c r="V481" s="4">
        <v>529.70000000000005</v>
      </c>
      <c r="W481" s="4">
        <v>529.70000000000005</v>
      </c>
      <c r="X481" s="4">
        <v>529.70000000000005</v>
      </c>
      <c r="Y481" s="4">
        <v>529.70000000000005</v>
      </c>
      <c r="Z481" s="4">
        <v>529.70000000000005</v>
      </c>
      <c r="AA481" s="5">
        <f t="shared" si="102"/>
        <v>3599.6000000000004</v>
      </c>
      <c r="AB481" s="42">
        <v>2024</v>
      </c>
      <c r="AC481" s="132"/>
      <c r="AD481" s="110"/>
    </row>
    <row r="482" spans="1:34" ht="47.25" x14ac:dyDescent="0.25">
      <c r="A482" s="58" t="s">
        <v>19</v>
      </c>
      <c r="B482" s="58" t="s">
        <v>19</v>
      </c>
      <c r="C482" s="58" t="s">
        <v>22</v>
      </c>
      <c r="D482" s="58" t="s">
        <v>19</v>
      </c>
      <c r="E482" s="58" t="s">
        <v>22</v>
      </c>
      <c r="F482" s="58" t="s">
        <v>19</v>
      </c>
      <c r="G482" s="58" t="s">
        <v>23</v>
      </c>
      <c r="H482" s="58" t="s">
        <v>20</v>
      </c>
      <c r="I482" s="58" t="s">
        <v>25</v>
      </c>
      <c r="J482" s="58" t="s">
        <v>19</v>
      </c>
      <c r="K482" s="58" t="s">
        <v>19</v>
      </c>
      <c r="L482" s="58" t="s">
        <v>23</v>
      </c>
      <c r="M482" s="58" t="s">
        <v>19</v>
      </c>
      <c r="N482" s="58" t="s">
        <v>19</v>
      </c>
      <c r="O482" s="58" t="s">
        <v>19</v>
      </c>
      <c r="P482" s="58" t="s">
        <v>19</v>
      </c>
      <c r="Q482" s="58" t="s">
        <v>19</v>
      </c>
      <c r="R482" s="74" t="s">
        <v>152</v>
      </c>
      <c r="S482" s="60" t="s">
        <v>0</v>
      </c>
      <c r="T482" s="1">
        <f>1961.8-500-47.8</f>
        <v>1414</v>
      </c>
      <c r="U482" s="1">
        <v>1163</v>
      </c>
      <c r="V482" s="1">
        <v>1163</v>
      </c>
      <c r="W482" s="1">
        <v>1163</v>
      </c>
      <c r="X482" s="1">
        <v>1163</v>
      </c>
      <c r="Y482" s="1">
        <v>1163</v>
      </c>
      <c r="Z482" s="1">
        <v>1163</v>
      </c>
      <c r="AA482" s="64">
        <f t="shared" si="102"/>
        <v>8392</v>
      </c>
      <c r="AB482" s="63">
        <v>2024</v>
      </c>
      <c r="AC482" s="128"/>
      <c r="AD482" s="110"/>
    </row>
    <row r="483" spans="1:34" ht="47.25" x14ac:dyDescent="0.2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66" t="s">
        <v>153</v>
      </c>
      <c r="S483" s="147" t="s">
        <v>32</v>
      </c>
      <c r="T483" s="4">
        <v>3300</v>
      </c>
      <c r="U483" s="4">
        <v>1717</v>
      </c>
      <c r="V483" s="4">
        <v>1717</v>
      </c>
      <c r="W483" s="4">
        <v>1717</v>
      </c>
      <c r="X483" s="4">
        <v>1717</v>
      </c>
      <c r="Y483" s="4">
        <v>1717</v>
      </c>
      <c r="Z483" s="4">
        <v>1717</v>
      </c>
      <c r="AA483" s="5">
        <f t="shared" si="102"/>
        <v>13602</v>
      </c>
      <c r="AB483" s="42">
        <v>2024</v>
      </c>
      <c r="AC483" s="132"/>
      <c r="AD483" s="110"/>
    </row>
    <row r="484" spans="1:34" ht="47.25" x14ac:dyDescent="0.25">
      <c r="A484" s="58" t="s">
        <v>19</v>
      </c>
      <c r="B484" s="58" t="s">
        <v>19</v>
      </c>
      <c r="C484" s="58" t="s">
        <v>26</v>
      </c>
      <c r="D484" s="58" t="s">
        <v>19</v>
      </c>
      <c r="E484" s="58" t="s">
        <v>22</v>
      </c>
      <c r="F484" s="58" t="s">
        <v>19</v>
      </c>
      <c r="G484" s="58" t="s">
        <v>23</v>
      </c>
      <c r="H484" s="58" t="s">
        <v>20</v>
      </c>
      <c r="I484" s="58" t="s">
        <v>25</v>
      </c>
      <c r="J484" s="58" t="s">
        <v>19</v>
      </c>
      <c r="K484" s="58" t="s">
        <v>19</v>
      </c>
      <c r="L484" s="58" t="s">
        <v>23</v>
      </c>
      <c r="M484" s="58" t="s">
        <v>19</v>
      </c>
      <c r="N484" s="58" t="s">
        <v>19</v>
      </c>
      <c r="O484" s="58" t="s">
        <v>19</v>
      </c>
      <c r="P484" s="58" t="s">
        <v>19</v>
      </c>
      <c r="Q484" s="58" t="s">
        <v>19</v>
      </c>
      <c r="R484" s="74" t="s">
        <v>154</v>
      </c>
      <c r="S484" s="60" t="s">
        <v>0</v>
      </c>
      <c r="T484" s="1">
        <f>1502-455.3-60.8</f>
        <v>985.90000000000009</v>
      </c>
      <c r="U484" s="1">
        <v>1000</v>
      </c>
      <c r="V484" s="1">
        <v>1000</v>
      </c>
      <c r="W484" s="1">
        <v>1000</v>
      </c>
      <c r="X484" s="1">
        <v>1000</v>
      </c>
      <c r="Y484" s="1">
        <v>1000</v>
      </c>
      <c r="Z484" s="1">
        <v>1000</v>
      </c>
      <c r="AA484" s="64">
        <f t="shared" si="102"/>
        <v>6985.9</v>
      </c>
      <c r="AB484" s="63">
        <v>2024</v>
      </c>
      <c r="AC484" s="129"/>
      <c r="AD484" s="12"/>
    </row>
    <row r="485" spans="1:34" ht="46.5" customHeight="1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1" t="s">
        <v>155</v>
      </c>
      <c r="S485" s="147" t="s">
        <v>32</v>
      </c>
      <c r="T485" s="3">
        <v>1903</v>
      </c>
      <c r="U485" s="3">
        <v>1314</v>
      </c>
      <c r="V485" s="3">
        <v>1314</v>
      </c>
      <c r="W485" s="3">
        <v>1314</v>
      </c>
      <c r="X485" s="3">
        <v>1314</v>
      </c>
      <c r="Y485" s="3">
        <v>1314</v>
      </c>
      <c r="Z485" s="3">
        <v>1314</v>
      </c>
      <c r="AA485" s="5">
        <f t="shared" si="102"/>
        <v>9787</v>
      </c>
      <c r="AB485" s="42">
        <v>2024</v>
      </c>
      <c r="AC485" s="132"/>
      <c r="AD485" s="110"/>
    </row>
    <row r="486" spans="1:34" ht="66" customHeight="1" x14ac:dyDescent="0.25">
      <c r="A486" s="58" t="s">
        <v>19</v>
      </c>
      <c r="B486" s="58" t="s">
        <v>25</v>
      </c>
      <c r="C486" s="58" t="s">
        <v>23</v>
      </c>
      <c r="D486" s="58" t="s">
        <v>19</v>
      </c>
      <c r="E486" s="58" t="s">
        <v>22</v>
      </c>
      <c r="F486" s="58" t="s">
        <v>19</v>
      </c>
      <c r="G486" s="58" t="s">
        <v>23</v>
      </c>
      <c r="H486" s="58" t="s">
        <v>20</v>
      </c>
      <c r="I486" s="58" t="s">
        <v>25</v>
      </c>
      <c r="J486" s="58" t="s">
        <v>19</v>
      </c>
      <c r="K486" s="58" t="s">
        <v>19</v>
      </c>
      <c r="L486" s="58" t="s">
        <v>23</v>
      </c>
      <c r="M486" s="58" t="s">
        <v>19</v>
      </c>
      <c r="N486" s="58" t="s">
        <v>19</v>
      </c>
      <c r="O486" s="58" t="s">
        <v>19</v>
      </c>
      <c r="P486" s="58" t="s">
        <v>19</v>
      </c>
      <c r="Q486" s="58" t="s">
        <v>19</v>
      </c>
      <c r="R486" s="144" t="s">
        <v>156</v>
      </c>
      <c r="S486" s="60" t="s">
        <v>0</v>
      </c>
      <c r="T486" s="1">
        <v>0</v>
      </c>
      <c r="U486" s="1">
        <v>0</v>
      </c>
      <c r="V486" s="1">
        <v>0</v>
      </c>
      <c r="W486" s="1">
        <v>0</v>
      </c>
      <c r="X486" s="1">
        <v>1782</v>
      </c>
      <c r="Y486" s="1">
        <v>1782</v>
      </c>
      <c r="Z486" s="1">
        <v>1782</v>
      </c>
      <c r="AA486" s="64">
        <f t="shared" si="102"/>
        <v>5346</v>
      </c>
      <c r="AB486" s="63">
        <v>2024</v>
      </c>
      <c r="AC486" s="33"/>
    </row>
    <row r="487" spans="1:34" ht="48" customHeight="1" x14ac:dyDescent="0.2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5" t="s">
        <v>157</v>
      </c>
      <c r="S487" s="147" t="s">
        <v>32</v>
      </c>
      <c r="T487" s="3">
        <v>0</v>
      </c>
      <c r="U487" s="3">
        <v>0</v>
      </c>
      <c r="V487" s="3">
        <v>0</v>
      </c>
      <c r="W487" s="3">
        <v>0</v>
      </c>
      <c r="X487" s="3">
        <v>5619</v>
      </c>
      <c r="Y487" s="3">
        <v>5619</v>
      </c>
      <c r="Z487" s="3">
        <v>5619</v>
      </c>
      <c r="AA487" s="5">
        <f t="shared" si="102"/>
        <v>16857</v>
      </c>
      <c r="AB487" s="42">
        <v>2024</v>
      </c>
      <c r="AC487" s="129"/>
      <c r="AD487" s="123"/>
      <c r="AE487" s="110"/>
      <c r="AF487" s="110"/>
      <c r="AG487" s="110"/>
      <c r="AH487" s="8"/>
    </row>
    <row r="488" spans="1:34" ht="0.75" hidden="1" customHeight="1" x14ac:dyDescent="0.25">
      <c r="A488" s="58"/>
      <c r="B488" s="58"/>
      <c r="C488" s="58"/>
      <c r="D488" s="58" t="s">
        <v>19</v>
      </c>
      <c r="E488" s="58" t="s">
        <v>22</v>
      </c>
      <c r="F488" s="58" t="s">
        <v>19</v>
      </c>
      <c r="G488" s="58" t="s">
        <v>23</v>
      </c>
      <c r="H488" s="58" t="s">
        <v>19</v>
      </c>
      <c r="I488" s="58" t="s">
        <v>24</v>
      </c>
      <c r="J488" s="58" t="s">
        <v>19</v>
      </c>
      <c r="K488" s="58" t="s">
        <v>19</v>
      </c>
      <c r="L488" s="58" t="s">
        <v>21</v>
      </c>
      <c r="M488" s="58" t="s">
        <v>20</v>
      </c>
      <c r="N488" s="58" t="s">
        <v>19</v>
      </c>
      <c r="O488" s="58" t="s">
        <v>22</v>
      </c>
      <c r="P488" s="58" t="s">
        <v>22</v>
      </c>
      <c r="Q488" s="58" t="s">
        <v>19</v>
      </c>
      <c r="R488" s="161" t="s">
        <v>158</v>
      </c>
      <c r="S488" s="60" t="s">
        <v>0</v>
      </c>
      <c r="T488" s="1">
        <f t="shared" ref="T488:Y489" si="105">T491+T494+T497+T500</f>
        <v>1308.2000000000003</v>
      </c>
      <c r="U488" s="1">
        <f t="shared" si="105"/>
        <v>1308.2000000000003</v>
      </c>
      <c r="V488" s="1">
        <f t="shared" si="105"/>
        <v>1308.2000000000003</v>
      </c>
      <c r="W488" s="1">
        <f t="shared" si="105"/>
        <v>1308.2000000000003</v>
      </c>
      <c r="X488" s="1">
        <f t="shared" si="105"/>
        <v>1308.2000000000003</v>
      </c>
      <c r="Y488" s="1">
        <f t="shared" si="105"/>
        <v>1308.2000000000003</v>
      </c>
      <c r="Z488" s="1"/>
      <c r="AA488" s="64">
        <f>T488+U488+V488+W488+X488+Y488</f>
        <v>7849.2000000000025</v>
      </c>
      <c r="AB488" s="78">
        <v>2016</v>
      </c>
      <c r="AC488" s="33"/>
      <c r="AD488" s="12"/>
      <c r="AE488" s="12"/>
    </row>
    <row r="489" spans="1:34" ht="31.9" customHeight="1" x14ac:dyDescent="0.25">
      <c r="A489" s="58"/>
      <c r="B489" s="58"/>
      <c r="C489" s="58"/>
      <c r="D489" s="58" t="s">
        <v>19</v>
      </c>
      <c r="E489" s="58" t="s">
        <v>25</v>
      </c>
      <c r="F489" s="58" t="s">
        <v>19</v>
      </c>
      <c r="G489" s="58" t="s">
        <v>22</v>
      </c>
      <c r="H489" s="58" t="s">
        <v>20</v>
      </c>
      <c r="I489" s="58" t="s">
        <v>25</v>
      </c>
      <c r="J489" s="58" t="s">
        <v>19</v>
      </c>
      <c r="K489" s="58" t="s">
        <v>19</v>
      </c>
      <c r="L489" s="58" t="s">
        <v>23</v>
      </c>
      <c r="M489" s="58" t="s">
        <v>19</v>
      </c>
      <c r="N489" s="58" t="s">
        <v>19</v>
      </c>
      <c r="O489" s="58" t="s">
        <v>19</v>
      </c>
      <c r="P489" s="58" t="s">
        <v>19</v>
      </c>
      <c r="Q489" s="58" t="s">
        <v>19</v>
      </c>
      <c r="R489" s="161"/>
      <c r="S489" s="63" t="s">
        <v>0</v>
      </c>
      <c r="T489" s="64">
        <f t="shared" si="105"/>
        <v>1399.4</v>
      </c>
      <c r="U489" s="64">
        <f>U492+U495+U498+U501+U505</f>
        <v>802.7</v>
      </c>
      <c r="V489" s="64">
        <f t="shared" si="105"/>
        <v>1552.1000000000001</v>
      </c>
      <c r="W489" s="64">
        <f t="shared" si="105"/>
        <v>1535.7</v>
      </c>
      <c r="X489" s="64">
        <f t="shared" si="105"/>
        <v>1401.1000000000001</v>
      </c>
      <c r="Y489" s="64">
        <f t="shared" si="105"/>
        <v>1401.1000000000001</v>
      </c>
      <c r="Z489" s="64">
        <f t="shared" ref="Z489" si="106">Z492+Z495+Z498+Z501</f>
        <v>1401.1000000000001</v>
      </c>
      <c r="AA489" s="64">
        <f>SUM(T489:Z489)</f>
        <v>9493.2000000000007</v>
      </c>
      <c r="AB489" s="63">
        <v>2024</v>
      </c>
      <c r="AC489" s="129"/>
      <c r="AD489" s="12"/>
      <c r="AE489" s="12"/>
    </row>
    <row r="490" spans="1:34" ht="31.9" customHeight="1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1" t="s">
        <v>159</v>
      </c>
      <c r="S490" s="147" t="s">
        <v>51</v>
      </c>
      <c r="T490" s="45">
        <f t="shared" ref="T490:Y490" si="107">T493+T496+T499+T504</f>
        <v>450</v>
      </c>
      <c r="U490" s="45">
        <f>U493+U496+U499+U504+U509</f>
        <v>450</v>
      </c>
      <c r="V490" s="45">
        <f t="shared" si="107"/>
        <v>450</v>
      </c>
      <c r="W490" s="45">
        <f t="shared" si="107"/>
        <v>450</v>
      </c>
      <c r="X490" s="45">
        <f t="shared" si="107"/>
        <v>433</v>
      </c>
      <c r="Y490" s="45">
        <f t="shared" si="107"/>
        <v>433</v>
      </c>
      <c r="Z490" s="45">
        <f t="shared" ref="Z490" si="108">Z493+Z496+Z499+Z504</f>
        <v>433</v>
      </c>
      <c r="AA490" s="53">
        <f>SUM(T490:Z490)</f>
        <v>3099</v>
      </c>
      <c r="AB490" s="42">
        <v>2024</v>
      </c>
      <c r="AC490" s="33"/>
      <c r="AD490" s="12"/>
      <c r="AE490" s="12"/>
    </row>
    <row r="491" spans="1:34" ht="36.75" hidden="1" customHeight="1" x14ac:dyDescent="0.25">
      <c r="A491" s="58" t="s">
        <v>19</v>
      </c>
      <c r="B491" s="58" t="s">
        <v>19</v>
      </c>
      <c r="C491" s="58" t="s">
        <v>23</v>
      </c>
      <c r="D491" s="58" t="s">
        <v>19</v>
      </c>
      <c r="E491" s="58" t="s">
        <v>22</v>
      </c>
      <c r="F491" s="58" t="s">
        <v>19</v>
      </c>
      <c r="G491" s="58" t="s">
        <v>23</v>
      </c>
      <c r="H491" s="58" t="s">
        <v>19</v>
      </c>
      <c r="I491" s="58" t="s">
        <v>24</v>
      </c>
      <c r="J491" s="58" t="s">
        <v>19</v>
      </c>
      <c r="K491" s="58" t="s">
        <v>19</v>
      </c>
      <c r="L491" s="58" t="s">
        <v>21</v>
      </c>
      <c r="M491" s="58" t="s">
        <v>20</v>
      </c>
      <c r="N491" s="58" t="s">
        <v>19</v>
      </c>
      <c r="O491" s="58" t="s">
        <v>22</v>
      </c>
      <c r="P491" s="58" t="s">
        <v>22</v>
      </c>
      <c r="Q491" s="58" t="s">
        <v>19</v>
      </c>
      <c r="R491" s="162" t="s">
        <v>160</v>
      </c>
      <c r="S491" s="60" t="s">
        <v>0</v>
      </c>
      <c r="T491" s="1">
        <f t="shared" ref="T491:Z491" si="109">472.4-26.9</f>
        <v>445.5</v>
      </c>
      <c r="U491" s="1">
        <f t="shared" si="109"/>
        <v>445.5</v>
      </c>
      <c r="V491" s="1">
        <f t="shared" si="109"/>
        <v>445.5</v>
      </c>
      <c r="W491" s="1">
        <f t="shared" si="109"/>
        <v>445.5</v>
      </c>
      <c r="X491" s="1">
        <f t="shared" si="109"/>
        <v>445.5</v>
      </c>
      <c r="Y491" s="1">
        <f t="shared" si="109"/>
        <v>445.5</v>
      </c>
      <c r="Z491" s="1">
        <f t="shared" si="109"/>
        <v>445.5</v>
      </c>
      <c r="AA491" s="64">
        <f t="shared" ref="AA491:AA500" si="110">T491+U491+V491+W491+X491+Y491</f>
        <v>2673</v>
      </c>
      <c r="AB491" s="42">
        <v>2023</v>
      </c>
      <c r="AC491" s="33"/>
      <c r="AD491" s="12"/>
      <c r="AE491" s="12"/>
    </row>
    <row r="492" spans="1:34" ht="34.15" customHeight="1" x14ac:dyDescent="0.25">
      <c r="A492" s="58" t="s">
        <v>19</v>
      </c>
      <c r="B492" s="58" t="s">
        <v>19</v>
      </c>
      <c r="C492" s="58" t="s">
        <v>23</v>
      </c>
      <c r="D492" s="58" t="s">
        <v>19</v>
      </c>
      <c r="E492" s="58" t="s">
        <v>25</v>
      </c>
      <c r="F492" s="58" t="s">
        <v>19</v>
      </c>
      <c r="G492" s="58" t="s">
        <v>22</v>
      </c>
      <c r="H492" s="58" t="s">
        <v>20</v>
      </c>
      <c r="I492" s="58" t="s">
        <v>25</v>
      </c>
      <c r="J492" s="58" t="s">
        <v>19</v>
      </c>
      <c r="K492" s="58" t="s">
        <v>19</v>
      </c>
      <c r="L492" s="58" t="s">
        <v>23</v>
      </c>
      <c r="M492" s="58" t="s">
        <v>20</v>
      </c>
      <c r="N492" s="58" t="s">
        <v>19</v>
      </c>
      <c r="O492" s="58" t="s">
        <v>22</v>
      </c>
      <c r="P492" s="58" t="s">
        <v>22</v>
      </c>
      <c r="Q492" s="58" t="s">
        <v>19</v>
      </c>
      <c r="R492" s="163"/>
      <c r="S492" s="60" t="s">
        <v>0</v>
      </c>
      <c r="T492" s="1">
        <f t="shared" ref="T492:Z492" si="111">445.5+45.8</f>
        <v>491.3</v>
      </c>
      <c r="U492" s="1">
        <f>445.5+45.8+47.5-415.7</f>
        <v>123.09999999999997</v>
      </c>
      <c r="V492" s="1">
        <f>445.5+45.8+53.6</f>
        <v>544.9</v>
      </c>
      <c r="W492" s="1">
        <f>445.5+45.8+47.9</f>
        <v>539.20000000000005</v>
      </c>
      <c r="X492" s="1">
        <f t="shared" si="111"/>
        <v>491.3</v>
      </c>
      <c r="Y492" s="1">
        <f t="shared" si="111"/>
        <v>491.3</v>
      </c>
      <c r="Z492" s="1">
        <f t="shared" si="111"/>
        <v>491.3</v>
      </c>
      <c r="AA492" s="64">
        <f>SUM(T492:Z492)</f>
        <v>3172.4000000000005</v>
      </c>
      <c r="AB492" s="63">
        <v>2024</v>
      </c>
      <c r="AC492" s="129"/>
    </row>
    <row r="493" spans="1:34" ht="47.25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66" t="s">
        <v>161</v>
      </c>
      <c r="S493" s="147" t="s">
        <v>51</v>
      </c>
      <c r="T493" s="2">
        <v>158</v>
      </c>
      <c r="U493" s="45">
        <v>37</v>
      </c>
      <c r="V493" s="2">
        <v>158</v>
      </c>
      <c r="W493" s="2">
        <v>158</v>
      </c>
      <c r="X493" s="2">
        <v>148</v>
      </c>
      <c r="Y493" s="2">
        <v>148</v>
      </c>
      <c r="Z493" s="2">
        <v>148</v>
      </c>
      <c r="AA493" s="53">
        <f>SUM(T493:Z493)</f>
        <v>955</v>
      </c>
      <c r="AB493" s="42">
        <v>2024</v>
      </c>
      <c r="AC493" s="33"/>
    </row>
    <row r="494" spans="1:34" ht="36" hidden="1" customHeight="1" x14ac:dyDescent="0.25">
      <c r="A494" s="58" t="s">
        <v>19</v>
      </c>
      <c r="B494" s="58" t="s">
        <v>19</v>
      </c>
      <c r="C494" s="58" t="s">
        <v>25</v>
      </c>
      <c r="D494" s="58" t="s">
        <v>19</v>
      </c>
      <c r="E494" s="58" t="s">
        <v>22</v>
      </c>
      <c r="F494" s="58" t="s">
        <v>19</v>
      </c>
      <c r="G494" s="58" t="s">
        <v>23</v>
      </c>
      <c r="H494" s="58" t="s">
        <v>19</v>
      </c>
      <c r="I494" s="58" t="s">
        <v>24</v>
      </c>
      <c r="J494" s="58" t="s">
        <v>19</v>
      </c>
      <c r="K494" s="58" t="s">
        <v>19</v>
      </c>
      <c r="L494" s="58" t="s">
        <v>21</v>
      </c>
      <c r="M494" s="58" t="s">
        <v>20</v>
      </c>
      <c r="N494" s="58" t="s">
        <v>19</v>
      </c>
      <c r="O494" s="58" t="s">
        <v>22</v>
      </c>
      <c r="P494" s="58" t="s">
        <v>22</v>
      </c>
      <c r="Q494" s="58" t="s">
        <v>19</v>
      </c>
      <c r="R494" s="165" t="s">
        <v>160</v>
      </c>
      <c r="S494" s="60" t="s">
        <v>0</v>
      </c>
      <c r="T494" s="1">
        <f t="shared" ref="T494:Z494" si="112">302-17.3</f>
        <v>284.7</v>
      </c>
      <c r="U494" s="1">
        <f t="shared" si="112"/>
        <v>284.7</v>
      </c>
      <c r="V494" s="1">
        <f t="shared" si="112"/>
        <v>284.7</v>
      </c>
      <c r="W494" s="1">
        <f t="shared" si="112"/>
        <v>284.7</v>
      </c>
      <c r="X494" s="1">
        <f t="shared" si="112"/>
        <v>284.7</v>
      </c>
      <c r="Y494" s="1">
        <f t="shared" si="112"/>
        <v>284.7</v>
      </c>
      <c r="Z494" s="1">
        <f t="shared" si="112"/>
        <v>284.7</v>
      </c>
      <c r="AA494" s="64">
        <f t="shared" si="110"/>
        <v>1708.2</v>
      </c>
      <c r="AB494" s="42">
        <v>2023</v>
      </c>
      <c r="AC494" s="33"/>
    </row>
    <row r="495" spans="1:34" ht="37.15" customHeight="1" x14ac:dyDescent="0.25">
      <c r="A495" s="58" t="s">
        <v>19</v>
      </c>
      <c r="B495" s="58" t="s">
        <v>19</v>
      </c>
      <c r="C495" s="58" t="s">
        <v>25</v>
      </c>
      <c r="D495" s="58" t="s">
        <v>19</v>
      </c>
      <c r="E495" s="58" t="s">
        <v>25</v>
      </c>
      <c r="F495" s="58" t="s">
        <v>19</v>
      </c>
      <c r="G495" s="58" t="s">
        <v>22</v>
      </c>
      <c r="H495" s="58" t="s">
        <v>20</v>
      </c>
      <c r="I495" s="58" t="s">
        <v>25</v>
      </c>
      <c r="J495" s="58" t="s">
        <v>19</v>
      </c>
      <c r="K495" s="58" t="s">
        <v>19</v>
      </c>
      <c r="L495" s="58" t="s">
        <v>23</v>
      </c>
      <c r="M495" s="58" t="s">
        <v>20</v>
      </c>
      <c r="N495" s="58" t="s">
        <v>19</v>
      </c>
      <c r="O495" s="58" t="s">
        <v>22</v>
      </c>
      <c r="P495" s="58" t="s">
        <v>22</v>
      </c>
      <c r="Q495" s="58" t="s">
        <v>19</v>
      </c>
      <c r="R495" s="166"/>
      <c r="S495" s="60" t="s">
        <v>0</v>
      </c>
      <c r="T495" s="1">
        <f t="shared" ref="T495:Z495" si="113">284.7-29.7</f>
        <v>255</v>
      </c>
      <c r="U495" s="1">
        <f>284.7-29.7+24.6-218.9</f>
        <v>60.700000000000017</v>
      </c>
      <c r="V495" s="1">
        <f>284.7-29.7+27.8</f>
        <v>282.8</v>
      </c>
      <c r="W495" s="1">
        <f>284.7-29.7+24.8</f>
        <v>279.8</v>
      </c>
      <c r="X495" s="1">
        <f t="shared" si="113"/>
        <v>255</v>
      </c>
      <c r="Y495" s="1">
        <f t="shared" si="113"/>
        <v>255</v>
      </c>
      <c r="Z495" s="1">
        <f t="shared" si="113"/>
        <v>255</v>
      </c>
      <c r="AA495" s="64">
        <f>SUM(T495:Z495)</f>
        <v>1643.3</v>
      </c>
      <c r="AB495" s="63">
        <v>2024</v>
      </c>
      <c r="AC495" s="129"/>
    </row>
    <row r="496" spans="1:34" ht="47.25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66" t="s">
        <v>162</v>
      </c>
      <c r="S496" s="147" t="s">
        <v>51</v>
      </c>
      <c r="T496" s="2">
        <v>82</v>
      </c>
      <c r="U496" s="45">
        <v>20</v>
      </c>
      <c r="V496" s="2">
        <v>82</v>
      </c>
      <c r="W496" s="2">
        <v>82</v>
      </c>
      <c r="X496" s="2">
        <v>82</v>
      </c>
      <c r="Y496" s="2">
        <v>82</v>
      </c>
      <c r="Z496" s="2">
        <v>82</v>
      </c>
      <c r="AA496" s="53">
        <f>SUM(T496:Z496)</f>
        <v>512</v>
      </c>
      <c r="AB496" s="42">
        <v>2024</v>
      </c>
      <c r="AC496" s="33"/>
    </row>
    <row r="497" spans="1:29" ht="5.25" hidden="1" customHeight="1" x14ac:dyDescent="0.25">
      <c r="A497" s="58" t="s">
        <v>19</v>
      </c>
      <c r="B497" s="58" t="s">
        <v>19</v>
      </c>
      <c r="C497" s="58" t="s">
        <v>22</v>
      </c>
      <c r="D497" s="58" t="s">
        <v>19</v>
      </c>
      <c r="E497" s="58" t="s">
        <v>22</v>
      </c>
      <c r="F497" s="58" t="s">
        <v>19</v>
      </c>
      <c r="G497" s="58" t="s">
        <v>23</v>
      </c>
      <c r="H497" s="58" t="s">
        <v>19</v>
      </c>
      <c r="I497" s="58" t="s">
        <v>24</v>
      </c>
      <c r="J497" s="58" t="s">
        <v>19</v>
      </c>
      <c r="K497" s="58" t="s">
        <v>19</v>
      </c>
      <c r="L497" s="58" t="s">
        <v>21</v>
      </c>
      <c r="M497" s="58" t="s">
        <v>20</v>
      </c>
      <c r="N497" s="58" t="s">
        <v>19</v>
      </c>
      <c r="O497" s="58" t="s">
        <v>22</v>
      </c>
      <c r="P497" s="58" t="s">
        <v>22</v>
      </c>
      <c r="Q497" s="58" t="s">
        <v>19</v>
      </c>
      <c r="R497" s="165" t="s">
        <v>160</v>
      </c>
      <c r="S497" s="60" t="s">
        <v>0</v>
      </c>
      <c r="T497" s="1">
        <f t="shared" ref="T497:Z497" si="114">398.8-22.7</f>
        <v>376.1</v>
      </c>
      <c r="U497" s="1">
        <f t="shared" si="114"/>
        <v>376.1</v>
      </c>
      <c r="V497" s="1">
        <f t="shared" si="114"/>
        <v>376.1</v>
      </c>
      <c r="W497" s="1">
        <f t="shared" si="114"/>
        <v>376.1</v>
      </c>
      <c r="X497" s="1">
        <f t="shared" si="114"/>
        <v>376.1</v>
      </c>
      <c r="Y497" s="1">
        <f t="shared" si="114"/>
        <v>376.1</v>
      </c>
      <c r="Z497" s="1">
        <f t="shared" si="114"/>
        <v>376.1</v>
      </c>
      <c r="AA497" s="64">
        <f t="shared" si="110"/>
        <v>2256.6</v>
      </c>
      <c r="AB497" s="42">
        <v>2023</v>
      </c>
      <c r="AC497" s="33"/>
    </row>
    <row r="498" spans="1:29" ht="35.450000000000003" customHeight="1" x14ac:dyDescent="0.25">
      <c r="A498" s="58" t="s">
        <v>19</v>
      </c>
      <c r="B498" s="58" t="s">
        <v>19</v>
      </c>
      <c r="C498" s="58" t="s">
        <v>22</v>
      </c>
      <c r="D498" s="58" t="s">
        <v>19</v>
      </c>
      <c r="E498" s="58" t="s">
        <v>25</v>
      </c>
      <c r="F498" s="58" t="s">
        <v>19</v>
      </c>
      <c r="G498" s="58" t="s">
        <v>22</v>
      </c>
      <c r="H498" s="58" t="s">
        <v>20</v>
      </c>
      <c r="I498" s="58" t="s">
        <v>25</v>
      </c>
      <c r="J498" s="58" t="s">
        <v>19</v>
      </c>
      <c r="K498" s="58" t="s">
        <v>19</v>
      </c>
      <c r="L498" s="58" t="s">
        <v>23</v>
      </c>
      <c r="M498" s="58" t="s">
        <v>20</v>
      </c>
      <c r="N498" s="58" t="s">
        <v>19</v>
      </c>
      <c r="O498" s="58" t="s">
        <v>22</v>
      </c>
      <c r="P498" s="58" t="s">
        <v>22</v>
      </c>
      <c r="Q498" s="58" t="s">
        <v>19</v>
      </c>
      <c r="R498" s="166"/>
      <c r="S498" s="60" t="s">
        <v>0</v>
      </c>
      <c r="T498" s="1">
        <f t="shared" ref="T498:Z498" si="115">376.1+59.3</f>
        <v>435.40000000000003</v>
      </c>
      <c r="U498" s="1">
        <f>376.1+59.3+42-370.4</f>
        <v>107.00000000000006</v>
      </c>
      <c r="V498" s="1">
        <f>376.1+59.3+47.5</f>
        <v>482.90000000000003</v>
      </c>
      <c r="W498" s="1">
        <f>376.1+59.3+42.4</f>
        <v>477.8</v>
      </c>
      <c r="X498" s="1">
        <f t="shared" si="115"/>
        <v>435.40000000000003</v>
      </c>
      <c r="Y498" s="1">
        <f t="shared" si="115"/>
        <v>435.40000000000003</v>
      </c>
      <c r="Z498" s="1">
        <f t="shared" si="115"/>
        <v>435.40000000000003</v>
      </c>
      <c r="AA498" s="64">
        <f>SUM(T498:Z498)</f>
        <v>2809.3</v>
      </c>
      <c r="AB498" s="63">
        <v>2024</v>
      </c>
      <c r="AC498" s="33"/>
    </row>
    <row r="499" spans="1:29" ht="47.25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66" t="s">
        <v>163</v>
      </c>
      <c r="S499" s="147" t="s">
        <v>51</v>
      </c>
      <c r="T499" s="2">
        <v>140</v>
      </c>
      <c r="U499" s="45">
        <v>31</v>
      </c>
      <c r="V499" s="2">
        <v>140</v>
      </c>
      <c r="W499" s="2">
        <v>140</v>
      </c>
      <c r="X499" s="2">
        <v>135</v>
      </c>
      <c r="Y499" s="2">
        <v>135</v>
      </c>
      <c r="Z499" s="2">
        <v>135</v>
      </c>
      <c r="AA499" s="53">
        <f>SUM(T499:Z499)</f>
        <v>856</v>
      </c>
      <c r="AB499" s="42">
        <v>2024</v>
      </c>
      <c r="AC499" s="33"/>
    </row>
    <row r="500" spans="1:29" ht="35.25" hidden="1" customHeight="1" x14ac:dyDescent="0.25">
      <c r="A500" s="58" t="s">
        <v>19</v>
      </c>
      <c r="B500" s="58" t="s">
        <v>19</v>
      </c>
      <c r="C500" s="58" t="s">
        <v>26</v>
      </c>
      <c r="D500" s="58" t="s">
        <v>19</v>
      </c>
      <c r="E500" s="58" t="s">
        <v>22</v>
      </c>
      <c r="F500" s="58" t="s">
        <v>19</v>
      </c>
      <c r="G500" s="58" t="s">
        <v>23</v>
      </c>
      <c r="H500" s="58" t="s">
        <v>19</v>
      </c>
      <c r="I500" s="58" t="s">
        <v>24</v>
      </c>
      <c r="J500" s="58" t="s">
        <v>19</v>
      </c>
      <c r="K500" s="58" t="s">
        <v>19</v>
      </c>
      <c r="L500" s="58" t="s">
        <v>21</v>
      </c>
      <c r="M500" s="58" t="s">
        <v>20</v>
      </c>
      <c r="N500" s="58" t="s">
        <v>19</v>
      </c>
      <c r="O500" s="58" t="s">
        <v>22</v>
      </c>
      <c r="P500" s="58" t="s">
        <v>22</v>
      </c>
      <c r="Q500" s="58" t="s">
        <v>19</v>
      </c>
      <c r="R500" s="165" t="s">
        <v>160</v>
      </c>
      <c r="S500" s="60" t="s">
        <v>0</v>
      </c>
      <c r="T500" s="1">
        <f t="shared" ref="T500:Z500" si="116">214.1-12.2</f>
        <v>201.9</v>
      </c>
      <c r="U500" s="1">
        <f t="shared" si="116"/>
        <v>201.9</v>
      </c>
      <c r="V500" s="1">
        <f t="shared" si="116"/>
        <v>201.9</v>
      </c>
      <c r="W500" s="1">
        <f t="shared" si="116"/>
        <v>201.9</v>
      </c>
      <c r="X500" s="1">
        <f t="shared" si="116"/>
        <v>201.9</v>
      </c>
      <c r="Y500" s="1">
        <f t="shared" si="116"/>
        <v>201.9</v>
      </c>
      <c r="Z500" s="1">
        <f t="shared" si="116"/>
        <v>201.9</v>
      </c>
      <c r="AA500" s="64">
        <f t="shared" si="110"/>
        <v>1211.4000000000001</v>
      </c>
      <c r="AB500" s="42">
        <v>2023</v>
      </c>
    </row>
    <row r="501" spans="1:29" ht="30" customHeight="1" x14ac:dyDescent="0.25">
      <c r="A501" s="58" t="s">
        <v>19</v>
      </c>
      <c r="B501" s="58" t="s">
        <v>19</v>
      </c>
      <c r="C501" s="58" t="s">
        <v>26</v>
      </c>
      <c r="D501" s="58" t="s">
        <v>19</v>
      </c>
      <c r="E501" s="58" t="s">
        <v>25</v>
      </c>
      <c r="F501" s="58" t="s">
        <v>19</v>
      </c>
      <c r="G501" s="58" t="s">
        <v>22</v>
      </c>
      <c r="H501" s="58" t="s">
        <v>20</v>
      </c>
      <c r="I501" s="58" t="s">
        <v>25</v>
      </c>
      <c r="J501" s="58" t="s">
        <v>19</v>
      </c>
      <c r="K501" s="58" t="s">
        <v>19</v>
      </c>
      <c r="L501" s="58" t="s">
        <v>23</v>
      </c>
      <c r="M501" s="58" t="s">
        <v>20</v>
      </c>
      <c r="N501" s="58" t="s">
        <v>19</v>
      </c>
      <c r="O501" s="58" t="s">
        <v>22</v>
      </c>
      <c r="P501" s="58" t="s">
        <v>22</v>
      </c>
      <c r="Q501" s="58" t="s">
        <v>19</v>
      </c>
      <c r="R501" s="166"/>
      <c r="S501" s="60" t="s">
        <v>0</v>
      </c>
      <c r="T501" s="1">
        <f>201.9+15.8</f>
        <v>217.70000000000002</v>
      </c>
      <c r="U501" s="1">
        <f>201.9+15.8+1.7+19.3-186.2</f>
        <v>52.500000000000028</v>
      </c>
      <c r="V501" s="1">
        <f>201.9+15.8+1.7+22.1</f>
        <v>241.5</v>
      </c>
      <c r="W501" s="1">
        <f>201.9+15.8+1.7+19.5</f>
        <v>238.9</v>
      </c>
      <c r="X501" s="1">
        <f>201.9+15.8+1.7</f>
        <v>219.4</v>
      </c>
      <c r="Y501" s="1">
        <f>201.9+15.8+1.7</f>
        <v>219.4</v>
      </c>
      <c r="Z501" s="1">
        <f>201.9+15.8+1.7</f>
        <v>219.4</v>
      </c>
      <c r="AA501" s="64">
        <f>SUM(T501:Z501)</f>
        <v>1408.8000000000002</v>
      </c>
      <c r="AB501" s="63">
        <v>2024</v>
      </c>
      <c r="AC501" s="33"/>
    </row>
    <row r="502" spans="1:29" ht="49.5" hidden="1" customHeight="1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1" t="s">
        <v>164</v>
      </c>
      <c r="S502" s="42" t="s">
        <v>8</v>
      </c>
      <c r="T502" s="2">
        <v>56</v>
      </c>
      <c r="U502" s="2">
        <v>56</v>
      </c>
      <c r="V502" s="2">
        <v>56</v>
      </c>
      <c r="W502" s="2">
        <v>56</v>
      </c>
      <c r="X502" s="2">
        <v>56</v>
      </c>
      <c r="Y502" s="2">
        <v>56</v>
      </c>
      <c r="Z502" s="2">
        <v>56</v>
      </c>
      <c r="AA502" s="53">
        <f>T502+U502+V502+W502+X502+Y502+Z502</f>
        <v>392</v>
      </c>
      <c r="AB502" s="42">
        <v>2024</v>
      </c>
    </row>
    <row r="503" spans="1:29" ht="64.5" hidden="1" customHeight="1" x14ac:dyDescent="0.25">
      <c r="A503" s="58" t="s">
        <v>19</v>
      </c>
      <c r="B503" s="58" t="s">
        <v>20</v>
      </c>
      <c r="C503" s="58" t="s">
        <v>25</v>
      </c>
      <c r="D503" s="58" t="s">
        <v>19</v>
      </c>
      <c r="E503" s="58" t="s">
        <v>22</v>
      </c>
      <c r="F503" s="58" t="s">
        <v>19</v>
      </c>
      <c r="G503" s="58" t="s">
        <v>23</v>
      </c>
      <c r="H503" s="58" t="s">
        <v>19</v>
      </c>
      <c r="I503" s="58" t="s">
        <v>24</v>
      </c>
      <c r="J503" s="58" t="s">
        <v>19</v>
      </c>
      <c r="K503" s="58" t="s">
        <v>19</v>
      </c>
      <c r="L503" s="58" t="s">
        <v>23</v>
      </c>
      <c r="M503" s="58" t="s">
        <v>19</v>
      </c>
      <c r="N503" s="58" t="s">
        <v>23</v>
      </c>
      <c r="O503" s="58" t="s">
        <v>23</v>
      </c>
      <c r="P503" s="58" t="s">
        <v>19</v>
      </c>
      <c r="Q503" s="58" t="s">
        <v>23</v>
      </c>
      <c r="R503" s="73" t="s">
        <v>165</v>
      </c>
      <c r="S503" s="60" t="s">
        <v>0</v>
      </c>
      <c r="T503" s="1"/>
      <c r="U503" s="1"/>
      <c r="V503" s="1"/>
      <c r="W503" s="1"/>
      <c r="X503" s="1"/>
      <c r="Y503" s="1"/>
      <c r="Z503" s="1"/>
      <c r="AA503" s="64">
        <f>T503+U503+V503+W503+X503+Y503</f>
        <v>0</v>
      </c>
      <c r="AB503" s="147">
        <v>2020</v>
      </c>
    </row>
    <row r="504" spans="1:29" ht="47.25" x14ac:dyDescent="0.2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66" t="s">
        <v>164</v>
      </c>
      <c r="S504" s="147" t="s">
        <v>51</v>
      </c>
      <c r="T504" s="45">
        <v>70</v>
      </c>
      <c r="U504" s="45">
        <v>15</v>
      </c>
      <c r="V504" s="45">
        <v>70</v>
      </c>
      <c r="W504" s="45">
        <v>70</v>
      </c>
      <c r="X504" s="45">
        <v>68</v>
      </c>
      <c r="Y504" s="45">
        <v>68</v>
      </c>
      <c r="Z504" s="45">
        <v>68</v>
      </c>
      <c r="AA504" s="46">
        <f t="shared" ref="AA504:AA509" si="117">SUM(T504:Z504)</f>
        <v>429</v>
      </c>
      <c r="AB504" s="42">
        <v>2024</v>
      </c>
      <c r="AC504" s="33"/>
    </row>
    <row r="505" spans="1:29" s="140" customFormat="1" hidden="1" x14ac:dyDescent="0.2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158" t="s">
        <v>308</v>
      </c>
      <c r="S505" s="60" t="s">
        <v>0</v>
      </c>
      <c r="T505" s="1">
        <v>0</v>
      </c>
      <c r="U505" s="1">
        <f>U506+U507</f>
        <v>459.4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64">
        <f t="shared" si="117"/>
        <v>459.4</v>
      </c>
      <c r="AB505" s="60">
        <v>2019</v>
      </c>
      <c r="AC505" s="139"/>
    </row>
    <row r="506" spans="1:29" s="140" customFormat="1" ht="34.9" customHeight="1" x14ac:dyDescent="0.25">
      <c r="A506" s="58" t="s">
        <v>19</v>
      </c>
      <c r="B506" s="58" t="s">
        <v>20</v>
      </c>
      <c r="C506" s="58" t="s">
        <v>21</v>
      </c>
      <c r="D506" s="58" t="s">
        <v>19</v>
      </c>
      <c r="E506" s="58" t="s">
        <v>25</v>
      </c>
      <c r="F506" s="58" t="s">
        <v>19</v>
      </c>
      <c r="G506" s="58" t="s">
        <v>22</v>
      </c>
      <c r="H506" s="58" t="s">
        <v>20</v>
      </c>
      <c r="I506" s="58" t="s">
        <v>25</v>
      </c>
      <c r="J506" s="58" t="s">
        <v>19</v>
      </c>
      <c r="K506" s="58" t="s">
        <v>19</v>
      </c>
      <c r="L506" s="58" t="s">
        <v>23</v>
      </c>
      <c r="M506" s="58" t="s">
        <v>20</v>
      </c>
      <c r="N506" s="58" t="s">
        <v>19</v>
      </c>
      <c r="O506" s="58" t="s">
        <v>22</v>
      </c>
      <c r="P506" s="58" t="s">
        <v>22</v>
      </c>
      <c r="Q506" s="58" t="s">
        <v>19</v>
      </c>
      <c r="R506" s="159"/>
      <c r="S506" s="60" t="s">
        <v>0</v>
      </c>
      <c r="T506" s="1">
        <v>0</v>
      </c>
      <c r="U506" s="1">
        <v>459.4</v>
      </c>
      <c r="V506" s="1">
        <v>0</v>
      </c>
      <c r="W506" s="1">
        <v>0</v>
      </c>
      <c r="X506" s="1">
        <v>0</v>
      </c>
      <c r="Y506" s="1">
        <v>0</v>
      </c>
      <c r="Z506" s="1">
        <v>0</v>
      </c>
      <c r="AA506" s="64">
        <f t="shared" si="117"/>
        <v>459.4</v>
      </c>
      <c r="AB506" s="60">
        <v>2019</v>
      </c>
      <c r="AC506" s="139"/>
    </row>
    <row r="507" spans="1:29" s="140" customFormat="1" hidden="1" x14ac:dyDescent="0.25">
      <c r="A507" s="58" t="s">
        <v>19</v>
      </c>
      <c r="B507" s="58" t="s">
        <v>20</v>
      </c>
      <c r="C507" s="58" t="s">
        <v>21</v>
      </c>
      <c r="D507" s="58" t="s">
        <v>19</v>
      </c>
      <c r="E507" s="58" t="s">
        <v>25</v>
      </c>
      <c r="F507" s="58" t="s">
        <v>19</v>
      </c>
      <c r="G507" s="58" t="s">
        <v>22</v>
      </c>
      <c r="H507" s="58" t="s">
        <v>20</v>
      </c>
      <c r="I507" s="58" t="s">
        <v>25</v>
      </c>
      <c r="J507" s="58" t="s">
        <v>19</v>
      </c>
      <c r="K507" s="58" t="s">
        <v>19</v>
      </c>
      <c r="L507" s="58" t="s">
        <v>23</v>
      </c>
      <c r="M507" s="58" t="s">
        <v>19</v>
      </c>
      <c r="N507" s="58" t="s">
        <v>19</v>
      </c>
      <c r="O507" s="58" t="s">
        <v>19</v>
      </c>
      <c r="P507" s="58" t="s">
        <v>19</v>
      </c>
      <c r="Q507" s="58" t="s">
        <v>19</v>
      </c>
      <c r="R507" s="160"/>
      <c r="S507" s="60" t="s">
        <v>0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64">
        <f t="shared" si="117"/>
        <v>0</v>
      </c>
      <c r="AB507" s="60">
        <v>2019</v>
      </c>
      <c r="AC507" s="139"/>
    </row>
    <row r="508" spans="1:29" s="77" customFormat="1" ht="47.25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1" t="s">
        <v>348</v>
      </c>
      <c r="S508" s="42" t="s">
        <v>309</v>
      </c>
      <c r="T508" s="45">
        <v>0</v>
      </c>
      <c r="U508" s="45">
        <v>175</v>
      </c>
      <c r="V508" s="45">
        <v>0</v>
      </c>
      <c r="W508" s="45">
        <v>0</v>
      </c>
      <c r="X508" s="45">
        <v>0</v>
      </c>
      <c r="Y508" s="45">
        <v>0</v>
      </c>
      <c r="Z508" s="45">
        <v>0</v>
      </c>
      <c r="AA508" s="53">
        <f t="shared" si="117"/>
        <v>175</v>
      </c>
      <c r="AB508" s="42">
        <v>2019</v>
      </c>
      <c r="AC508" s="119"/>
    </row>
    <row r="509" spans="1:29" s="77" customFormat="1" ht="47.25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1" t="s">
        <v>328</v>
      </c>
      <c r="S509" s="42" t="s">
        <v>51</v>
      </c>
      <c r="T509" s="45">
        <v>0</v>
      </c>
      <c r="U509" s="45">
        <v>347</v>
      </c>
      <c r="V509" s="45">
        <v>0</v>
      </c>
      <c r="W509" s="45">
        <v>0</v>
      </c>
      <c r="X509" s="45">
        <v>0</v>
      </c>
      <c r="Y509" s="45">
        <v>0</v>
      </c>
      <c r="Z509" s="45">
        <v>0</v>
      </c>
      <c r="AA509" s="53">
        <f t="shared" si="117"/>
        <v>347</v>
      </c>
      <c r="AB509" s="42">
        <v>2019</v>
      </c>
      <c r="AC509" s="119"/>
    </row>
    <row r="510" spans="1:29" ht="47.25" x14ac:dyDescent="0.25">
      <c r="A510" s="58"/>
      <c r="B510" s="58"/>
      <c r="C510" s="58"/>
      <c r="D510" s="58" t="s">
        <v>19</v>
      </c>
      <c r="E510" s="58" t="s">
        <v>22</v>
      </c>
      <c r="F510" s="58" t="s">
        <v>19</v>
      </c>
      <c r="G510" s="58" t="s">
        <v>23</v>
      </c>
      <c r="H510" s="58" t="s">
        <v>20</v>
      </c>
      <c r="I510" s="58" t="s">
        <v>25</v>
      </c>
      <c r="J510" s="58" t="s">
        <v>19</v>
      </c>
      <c r="K510" s="58" t="s">
        <v>19</v>
      </c>
      <c r="L510" s="58" t="s">
        <v>23</v>
      </c>
      <c r="M510" s="58" t="s">
        <v>19</v>
      </c>
      <c r="N510" s="58" t="s">
        <v>19</v>
      </c>
      <c r="O510" s="58" t="s">
        <v>19</v>
      </c>
      <c r="P510" s="58" t="s">
        <v>19</v>
      </c>
      <c r="Q510" s="58" t="s">
        <v>19</v>
      </c>
      <c r="R510" s="73" t="s">
        <v>166</v>
      </c>
      <c r="S510" s="63" t="s">
        <v>0</v>
      </c>
      <c r="T510" s="64">
        <f t="shared" ref="T510:Y511" si="118">T512+T514+T516+T518</f>
        <v>69.999999999999986</v>
      </c>
      <c r="U510" s="64">
        <f t="shared" si="118"/>
        <v>119.6</v>
      </c>
      <c r="V510" s="64">
        <f t="shared" si="118"/>
        <v>119.6</v>
      </c>
      <c r="W510" s="64">
        <f t="shared" si="118"/>
        <v>119.6</v>
      </c>
      <c r="X510" s="64">
        <f t="shared" si="118"/>
        <v>119.6</v>
      </c>
      <c r="Y510" s="64">
        <f t="shared" si="118"/>
        <v>119.6</v>
      </c>
      <c r="Z510" s="64">
        <f t="shared" ref="Z510" si="119">Z512+Z514+Z516+Z518</f>
        <v>119.6</v>
      </c>
      <c r="AA510" s="64">
        <f>AA512+AA514+AA516+AA518</f>
        <v>787.59999999999991</v>
      </c>
      <c r="AB510" s="63">
        <v>2024</v>
      </c>
      <c r="AC510" s="129"/>
    </row>
    <row r="511" spans="1:29" ht="63" x14ac:dyDescent="0.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6" t="s">
        <v>167</v>
      </c>
      <c r="S511" s="147" t="s">
        <v>39</v>
      </c>
      <c r="T511" s="45">
        <f t="shared" si="118"/>
        <v>27</v>
      </c>
      <c r="U511" s="45">
        <f t="shared" si="118"/>
        <v>41</v>
      </c>
      <c r="V511" s="45">
        <f t="shared" si="118"/>
        <v>41</v>
      </c>
      <c r="W511" s="45">
        <f t="shared" si="118"/>
        <v>41</v>
      </c>
      <c r="X511" s="45">
        <f t="shared" si="118"/>
        <v>41</v>
      </c>
      <c r="Y511" s="45">
        <f t="shared" si="118"/>
        <v>41</v>
      </c>
      <c r="Z511" s="45">
        <f>Z513+Z515+Z517+Z519</f>
        <v>41</v>
      </c>
      <c r="AA511" s="46">
        <f t="shared" ref="AA511" si="120">T511+U511+V511+W511+X511+Y511</f>
        <v>232</v>
      </c>
      <c r="AB511" s="42">
        <v>2024</v>
      </c>
      <c r="AC511" s="33"/>
    </row>
    <row r="512" spans="1:29" ht="47.25" x14ac:dyDescent="0.25">
      <c r="A512" s="58" t="s">
        <v>19</v>
      </c>
      <c r="B512" s="58" t="s">
        <v>19</v>
      </c>
      <c r="C512" s="58" t="s">
        <v>23</v>
      </c>
      <c r="D512" s="58" t="s">
        <v>19</v>
      </c>
      <c r="E512" s="58" t="s">
        <v>22</v>
      </c>
      <c r="F512" s="58" t="s">
        <v>19</v>
      </c>
      <c r="G512" s="58" t="s">
        <v>23</v>
      </c>
      <c r="H512" s="58" t="s">
        <v>20</v>
      </c>
      <c r="I512" s="58" t="s">
        <v>25</v>
      </c>
      <c r="J512" s="58" t="s">
        <v>19</v>
      </c>
      <c r="K512" s="58" t="s">
        <v>19</v>
      </c>
      <c r="L512" s="58" t="s">
        <v>23</v>
      </c>
      <c r="M512" s="58" t="s">
        <v>19</v>
      </c>
      <c r="N512" s="58" t="s">
        <v>19</v>
      </c>
      <c r="O512" s="58" t="s">
        <v>19</v>
      </c>
      <c r="P512" s="58" t="s">
        <v>19</v>
      </c>
      <c r="Q512" s="58" t="s">
        <v>19</v>
      </c>
      <c r="R512" s="73" t="s">
        <v>168</v>
      </c>
      <c r="S512" s="60" t="s">
        <v>0</v>
      </c>
      <c r="T512" s="1">
        <f>18.2-1.8-10.9</f>
        <v>5.4999999999999982</v>
      </c>
      <c r="U512" s="1">
        <v>18.2</v>
      </c>
      <c r="V512" s="1">
        <v>18.2</v>
      </c>
      <c r="W512" s="1">
        <v>18.2</v>
      </c>
      <c r="X512" s="1">
        <v>18.2</v>
      </c>
      <c r="Y512" s="1">
        <v>18.2</v>
      </c>
      <c r="Z512" s="1">
        <v>18.2</v>
      </c>
      <c r="AA512" s="64">
        <f t="shared" ref="AA512:AA519" si="121">T512+U512+V512+W512+X512+Y512+Z512</f>
        <v>114.7</v>
      </c>
      <c r="AB512" s="63">
        <v>2024</v>
      </c>
      <c r="AC512" s="129"/>
    </row>
    <row r="513" spans="1:30" ht="63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66" t="s">
        <v>169</v>
      </c>
      <c r="S513" s="147" t="s">
        <v>39</v>
      </c>
      <c r="T513" s="87">
        <v>2</v>
      </c>
      <c r="U513" s="87">
        <v>6</v>
      </c>
      <c r="V513" s="87">
        <v>6</v>
      </c>
      <c r="W513" s="87">
        <v>6</v>
      </c>
      <c r="X513" s="87">
        <v>6</v>
      </c>
      <c r="Y513" s="87">
        <v>6</v>
      </c>
      <c r="Z513" s="87">
        <v>6</v>
      </c>
      <c r="AA513" s="106">
        <f t="shared" si="121"/>
        <v>38</v>
      </c>
      <c r="AB513" s="42">
        <v>2024</v>
      </c>
      <c r="AC513" s="33"/>
    </row>
    <row r="514" spans="1:30" ht="47.25" x14ac:dyDescent="0.25">
      <c r="A514" s="58" t="s">
        <v>19</v>
      </c>
      <c r="B514" s="58" t="s">
        <v>19</v>
      </c>
      <c r="C514" s="58" t="s">
        <v>25</v>
      </c>
      <c r="D514" s="58" t="s">
        <v>19</v>
      </c>
      <c r="E514" s="58" t="s">
        <v>22</v>
      </c>
      <c r="F514" s="58" t="s">
        <v>19</v>
      </c>
      <c r="G514" s="58" t="s">
        <v>23</v>
      </c>
      <c r="H514" s="58" t="s">
        <v>20</v>
      </c>
      <c r="I514" s="58" t="s">
        <v>25</v>
      </c>
      <c r="J514" s="58" t="s">
        <v>19</v>
      </c>
      <c r="K514" s="58" t="s">
        <v>19</v>
      </c>
      <c r="L514" s="58" t="s">
        <v>23</v>
      </c>
      <c r="M514" s="58" t="s">
        <v>19</v>
      </c>
      <c r="N514" s="58" t="s">
        <v>19</v>
      </c>
      <c r="O514" s="58" t="s">
        <v>19</v>
      </c>
      <c r="P514" s="58" t="s">
        <v>19</v>
      </c>
      <c r="Q514" s="58" t="s">
        <v>19</v>
      </c>
      <c r="R514" s="73" t="s">
        <v>168</v>
      </c>
      <c r="S514" s="60" t="s">
        <v>0</v>
      </c>
      <c r="T514" s="1">
        <f>72.8-43.1</f>
        <v>29.699999999999996</v>
      </c>
      <c r="U514" s="1">
        <v>31.8</v>
      </c>
      <c r="V514" s="1">
        <v>31.8</v>
      </c>
      <c r="W514" s="1">
        <v>31.8</v>
      </c>
      <c r="X514" s="1">
        <v>31.8</v>
      </c>
      <c r="Y514" s="1">
        <v>31.8</v>
      </c>
      <c r="Z514" s="1">
        <v>31.8</v>
      </c>
      <c r="AA514" s="64">
        <f t="shared" si="121"/>
        <v>220.50000000000003</v>
      </c>
      <c r="AB514" s="63">
        <v>2024</v>
      </c>
      <c r="AC514" s="129"/>
    </row>
    <row r="515" spans="1:30" ht="63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66" t="s">
        <v>170</v>
      </c>
      <c r="S515" s="147" t="s">
        <v>39</v>
      </c>
      <c r="T515" s="87">
        <v>10</v>
      </c>
      <c r="U515" s="87">
        <v>11</v>
      </c>
      <c r="V515" s="87">
        <v>11</v>
      </c>
      <c r="W515" s="87">
        <v>11</v>
      </c>
      <c r="X515" s="87">
        <v>11</v>
      </c>
      <c r="Y515" s="87">
        <v>11</v>
      </c>
      <c r="Z515" s="87">
        <v>11</v>
      </c>
      <c r="AA515" s="106">
        <f t="shared" si="121"/>
        <v>76</v>
      </c>
      <c r="AB515" s="42">
        <v>2024</v>
      </c>
      <c r="AC515" s="33"/>
    </row>
    <row r="516" spans="1:30" ht="47.25" x14ac:dyDescent="0.25">
      <c r="A516" s="58" t="s">
        <v>19</v>
      </c>
      <c r="B516" s="58" t="s">
        <v>19</v>
      </c>
      <c r="C516" s="58" t="s">
        <v>22</v>
      </c>
      <c r="D516" s="58" t="s">
        <v>19</v>
      </c>
      <c r="E516" s="58" t="s">
        <v>22</v>
      </c>
      <c r="F516" s="58" t="s">
        <v>19</v>
      </c>
      <c r="G516" s="58" t="s">
        <v>23</v>
      </c>
      <c r="H516" s="58" t="s">
        <v>20</v>
      </c>
      <c r="I516" s="58" t="s">
        <v>25</v>
      </c>
      <c r="J516" s="58" t="s">
        <v>19</v>
      </c>
      <c r="K516" s="58" t="s">
        <v>19</v>
      </c>
      <c r="L516" s="58" t="s">
        <v>23</v>
      </c>
      <c r="M516" s="58" t="s">
        <v>19</v>
      </c>
      <c r="N516" s="58" t="s">
        <v>19</v>
      </c>
      <c r="O516" s="58" t="s">
        <v>19</v>
      </c>
      <c r="P516" s="58" t="s">
        <v>19</v>
      </c>
      <c r="Q516" s="58" t="s">
        <v>19</v>
      </c>
      <c r="R516" s="73" t="s">
        <v>171</v>
      </c>
      <c r="S516" s="60" t="s">
        <v>0</v>
      </c>
      <c r="T516" s="68">
        <f>36.4-4.4</f>
        <v>32</v>
      </c>
      <c r="U516" s="68">
        <v>34.6</v>
      </c>
      <c r="V516" s="68">
        <v>34.6</v>
      </c>
      <c r="W516" s="68">
        <v>34.6</v>
      </c>
      <c r="X516" s="68">
        <v>34.6</v>
      </c>
      <c r="Y516" s="68">
        <v>34.6</v>
      </c>
      <c r="Z516" s="68">
        <v>34.6</v>
      </c>
      <c r="AA516" s="64">
        <f t="shared" si="121"/>
        <v>239.59999999999997</v>
      </c>
      <c r="AB516" s="63">
        <v>2024</v>
      </c>
      <c r="AC516" s="128"/>
      <c r="AD516" s="110"/>
    </row>
    <row r="517" spans="1:30" ht="63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66" t="s">
        <v>172</v>
      </c>
      <c r="S517" s="147" t="s">
        <v>39</v>
      </c>
      <c r="T517" s="87">
        <v>14</v>
      </c>
      <c r="U517" s="87">
        <v>12</v>
      </c>
      <c r="V517" s="87">
        <v>12</v>
      </c>
      <c r="W517" s="87">
        <v>12</v>
      </c>
      <c r="X517" s="87">
        <v>12</v>
      </c>
      <c r="Y517" s="87">
        <v>12</v>
      </c>
      <c r="Z517" s="87">
        <v>12</v>
      </c>
      <c r="AA517" s="107">
        <f t="shared" si="121"/>
        <v>86</v>
      </c>
      <c r="AB517" s="42">
        <v>2024</v>
      </c>
      <c r="AC517" s="33"/>
    </row>
    <row r="518" spans="1:30" ht="47.25" x14ac:dyDescent="0.25">
      <c r="A518" s="58" t="s">
        <v>19</v>
      </c>
      <c r="B518" s="58" t="s">
        <v>19</v>
      </c>
      <c r="C518" s="58" t="s">
        <v>26</v>
      </c>
      <c r="D518" s="58" t="s">
        <v>19</v>
      </c>
      <c r="E518" s="58" t="s">
        <v>22</v>
      </c>
      <c r="F518" s="58" t="s">
        <v>19</v>
      </c>
      <c r="G518" s="58" t="s">
        <v>23</v>
      </c>
      <c r="H518" s="58" t="s">
        <v>20</v>
      </c>
      <c r="I518" s="58" t="s">
        <v>25</v>
      </c>
      <c r="J518" s="58" t="s">
        <v>19</v>
      </c>
      <c r="K518" s="58" t="s">
        <v>19</v>
      </c>
      <c r="L518" s="58" t="s">
        <v>23</v>
      </c>
      <c r="M518" s="58" t="s">
        <v>19</v>
      </c>
      <c r="N518" s="58" t="s">
        <v>19</v>
      </c>
      <c r="O518" s="58" t="s">
        <v>19</v>
      </c>
      <c r="P518" s="58" t="s">
        <v>19</v>
      </c>
      <c r="Q518" s="58" t="s">
        <v>19</v>
      </c>
      <c r="R518" s="73" t="s">
        <v>168</v>
      </c>
      <c r="S518" s="60" t="s">
        <v>0</v>
      </c>
      <c r="T518" s="1">
        <f>35-32.2</f>
        <v>2.7999999999999972</v>
      </c>
      <c r="U518" s="1">
        <v>35</v>
      </c>
      <c r="V518" s="1">
        <v>35</v>
      </c>
      <c r="W518" s="1">
        <v>35</v>
      </c>
      <c r="X518" s="1">
        <v>35</v>
      </c>
      <c r="Y518" s="1">
        <v>35</v>
      </c>
      <c r="Z518" s="1">
        <v>35</v>
      </c>
      <c r="AA518" s="64">
        <f t="shared" si="121"/>
        <v>212.8</v>
      </c>
      <c r="AB518" s="63">
        <v>2024</v>
      </c>
      <c r="AC518" s="33"/>
    </row>
    <row r="519" spans="1:30" ht="63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66" t="s">
        <v>173</v>
      </c>
      <c r="S519" s="147" t="s">
        <v>39</v>
      </c>
      <c r="T519" s="42">
        <v>1</v>
      </c>
      <c r="U519" s="42">
        <v>12</v>
      </c>
      <c r="V519" s="42">
        <v>12</v>
      </c>
      <c r="W519" s="42">
        <v>12</v>
      </c>
      <c r="X519" s="42">
        <v>12</v>
      </c>
      <c r="Y519" s="42">
        <v>12</v>
      </c>
      <c r="Z519" s="42">
        <v>12</v>
      </c>
      <c r="AA519" s="53">
        <f t="shared" si="121"/>
        <v>73</v>
      </c>
      <c r="AB519" s="42">
        <v>2024</v>
      </c>
      <c r="AC519" s="33"/>
    </row>
    <row r="520" spans="1:30" ht="47.25" hidden="1" x14ac:dyDescent="0.25">
      <c r="A520" s="58" t="s">
        <v>19</v>
      </c>
      <c r="B520" s="58" t="s">
        <v>20</v>
      </c>
      <c r="C520" s="58" t="s">
        <v>21</v>
      </c>
      <c r="D520" s="58" t="s">
        <v>19</v>
      </c>
      <c r="E520" s="58" t="s">
        <v>25</v>
      </c>
      <c r="F520" s="58" t="s">
        <v>19</v>
      </c>
      <c r="G520" s="58" t="s">
        <v>22</v>
      </c>
      <c r="H520" s="58" t="s">
        <v>20</v>
      </c>
      <c r="I520" s="58" t="s">
        <v>25</v>
      </c>
      <c r="J520" s="58" t="s">
        <v>19</v>
      </c>
      <c r="K520" s="58" t="s">
        <v>19</v>
      </c>
      <c r="L520" s="58" t="s">
        <v>23</v>
      </c>
      <c r="M520" s="58" t="s">
        <v>19</v>
      </c>
      <c r="N520" s="58" t="s">
        <v>19</v>
      </c>
      <c r="O520" s="58" t="s">
        <v>19</v>
      </c>
      <c r="P520" s="58" t="s">
        <v>19</v>
      </c>
      <c r="Q520" s="58" t="s">
        <v>19</v>
      </c>
      <c r="R520" s="74" t="s">
        <v>329</v>
      </c>
      <c r="S520" s="63" t="s">
        <v>0</v>
      </c>
      <c r="T520" s="64">
        <v>0</v>
      </c>
      <c r="U520" s="64">
        <v>0</v>
      </c>
      <c r="V520" s="64">
        <v>0</v>
      </c>
      <c r="W520" s="64">
        <v>0</v>
      </c>
      <c r="X520" s="64">
        <v>0</v>
      </c>
      <c r="Y520" s="64">
        <v>0</v>
      </c>
      <c r="Z520" s="64">
        <v>0</v>
      </c>
      <c r="AA520" s="64">
        <f>T520+U520+V520+W520+X520+Y520</f>
        <v>0</v>
      </c>
      <c r="AB520" s="63">
        <v>2019</v>
      </c>
      <c r="AC520" s="33"/>
    </row>
    <row r="521" spans="1:30" ht="31.5" hidden="1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66" t="s">
        <v>182</v>
      </c>
      <c r="S521" s="147" t="s">
        <v>39</v>
      </c>
      <c r="T521" s="42">
        <v>0</v>
      </c>
      <c r="U521" s="42">
        <v>1</v>
      </c>
      <c r="V521" s="42">
        <v>0</v>
      </c>
      <c r="W521" s="42">
        <v>0</v>
      </c>
      <c r="X521" s="42">
        <v>0</v>
      </c>
      <c r="Y521" s="42">
        <v>0</v>
      </c>
      <c r="Z521" s="42">
        <v>0</v>
      </c>
      <c r="AA521" s="53">
        <v>1</v>
      </c>
      <c r="AB521" s="42">
        <v>2019</v>
      </c>
      <c r="AC521" s="33"/>
    </row>
    <row r="522" spans="1:30" ht="94.5" hidden="1" x14ac:dyDescent="0.25">
      <c r="A522" s="58" t="s">
        <v>19</v>
      </c>
      <c r="B522" s="58" t="s">
        <v>20</v>
      </c>
      <c r="C522" s="58" t="s">
        <v>21</v>
      </c>
      <c r="D522" s="58" t="s">
        <v>19</v>
      </c>
      <c r="E522" s="58" t="s">
        <v>25</v>
      </c>
      <c r="F522" s="58" t="s">
        <v>19</v>
      </c>
      <c r="G522" s="58" t="s">
        <v>22</v>
      </c>
      <c r="H522" s="58" t="s">
        <v>20</v>
      </c>
      <c r="I522" s="58" t="s">
        <v>25</v>
      </c>
      <c r="J522" s="58" t="s">
        <v>19</v>
      </c>
      <c r="K522" s="58" t="s">
        <v>19</v>
      </c>
      <c r="L522" s="58" t="s">
        <v>23</v>
      </c>
      <c r="M522" s="58" t="s">
        <v>19</v>
      </c>
      <c r="N522" s="58" t="s">
        <v>19</v>
      </c>
      <c r="O522" s="58" t="s">
        <v>19</v>
      </c>
      <c r="P522" s="58" t="s">
        <v>19</v>
      </c>
      <c r="Q522" s="58" t="s">
        <v>19</v>
      </c>
      <c r="R522" s="74" t="s">
        <v>330</v>
      </c>
      <c r="S522" s="63" t="s">
        <v>0</v>
      </c>
      <c r="T522" s="64">
        <v>0</v>
      </c>
      <c r="U522" s="64">
        <v>0</v>
      </c>
      <c r="V522" s="64">
        <v>0</v>
      </c>
      <c r="W522" s="64">
        <v>0</v>
      </c>
      <c r="X522" s="64">
        <v>0</v>
      </c>
      <c r="Y522" s="64">
        <v>0</v>
      </c>
      <c r="Z522" s="64">
        <v>0</v>
      </c>
      <c r="AA522" s="64">
        <f>T522+U522+V522+W522+X522+Y522</f>
        <v>0</v>
      </c>
      <c r="AB522" s="63">
        <v>2019</v>
      </c>
      <c r="AC522" s="33"/>
    </row>
    <row r="523" spans="1:30" s="77" customFormat="1" ht="33" hidden="1" customHeight="1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1" t="s">
        <v>331</v>
      </c>
      <c r="S523" s="42" t="s">
        <v>39</v>
      </c>
      <c r="T523" s="42">
        <v>0</v>
      </c>
      <c r="U523" s="42">
        <v>1</v>
      </c>
      <c r="V523" s="42">
        <v>0</v>
      </c>
      <c r="W523" s="42">
        <v>0</v>
      </c>
      <c r="X523" s="42">
        <v>0</v>
      </c>
      <c r="Y523" s="42">
        <v>0</v>
      </c>
      <c r="Z523" s="42">
        <v>0</v>
      </c>
      <c r="AA523" s="53">
        <f>U523</f>
        <v>1</v>
      </c>
      <c r="AB523" s="42">
        <v>2019</v>
      </c>
      <c r="AC523" s="119"/>
    </row>
    <row r="524" spans="1:30" ht="93.6" customHeight="1" x14ac:dyDescent="0.25">
      <c r="A524" s="58" t="s">
        <v>19</v>
      </c>
      <c r="B524" s="58" t="s">
        <v>20</v>
      </c>
      <c r="C524" s="58" t="s">
        <v>21</v>
      </c>
      <c r="D524" s="58" t="s">
        <v>19</v>
      </c>
      <c r="E524" s="58" t="s">
        <v>25</v>
      </c>
      <c r="F524" s="58" t="s">
        <v>19</v>
      </c>
      <c r="G524" s="58" t="s">
        <v>22</v>
      </c>
      <c r="H524" s="58" t="s">
        <v>20</v>
      </c>
      <c r="I524" s="58" t="s">
        <v>25</v>
      </c>
      <c r="J524" s="58" t="s">
        <v>19</v>
      </c>
      <c r="K524" s="58" t="s">
        <v>19</v>
      </c>
      <c r="L524" s="58" t="s">
        <v>23</v>
      </c>
      <c r="M524" s="58" t="s">
        <v>20</v>
      </c>
      <c r="N524" s="58" t="s">
        <v>19</v>
      </c>
      <c r="O524" s="58" t="s">
        <v>22</v>
      </c>
      <c r="P524" s="58" t="s">
        <v>22</v>
      </c>
      <c r="Q524" s="58" t="s">
        <v>19</v>
      </c>
      <c r="R524" s="74" t="s">
        <v>343</v>
      </c>
      <c r="S524" s="63" t="s">
        <v>0</v>
      </c>
      <c r="T524" s="64">
        <v>0</v>
      </c>
      <c r="U524" s="64">
        <v>731.8</v>
      </c>
      <c r="V524" s="64">
        <v>0</v>
      </c>
      <c r="W524" s="64">
        <v>0</v>
      </c>
      <c r="X524" s="64">
        <v>0</v>
      </c>
      <c r="Y524" s="64">
        <v>0</v>
      </c>
      <c r="Z524" s="64">
        <v>0</v>
      </c>
      <c r="AA524" s="64">
        <f>T524+U524+V524+W524+X524+Y524</f>
        <v>731.8</v>
      </c>
      <c r="AB524" s="63">
        <v>2019</v>
      </c>
    </row>
    <row r="525" spans="1:30" s="77" customFormat="1" ht="31.5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1" t="s">
        <v>332</v>
      </c>
      <c r="S525" s="42" t="s">
        <v>51</v>
      </c>
      <c r="T525" s="45">
        <v>0</v>
      </c>
      <c r="U525" s="45">
        <v>347</v>
      </c>
      <c r="V525" s="45">
        <v>0</v>
      </c>
      <c r="W525" s="45">
        <v>0</v>
      </c>
      <c r="X525" s="45">
        <v>0</v>
      </c>
      <c r="Y525" s="45">
        <v>0</v>
      </c>
      <c r="Z525" s="45">
        <v>0</v>
      </c>
      <c r="AA525" s="6">
        <f>U525</f>
        <v>347</v>
      </c>
      <c r="AB525" s="78">
        <v>2019</v>
      </c>
      <c r="AC525" s="119"/>
    </row>
    <row r="526" spans="1:30" ht="47.25" x14ac:dyDescent="0.25">
      <c r="A526" s="58" t="s">
        <v>19</v>
      </c>
      <c r="B526" s="58" t="s">
        <v>20</v>
      </c>
      <c r="C526" s="58" t="s">
        <v>21</v>
      </c>
      <c r="D526" s="58" t="s">
        <v>19</v>
      </c>
      <c r="E526" s="58" t="s">
        <v>25</v>
      </c>
      <c r="F526" s="58" t="s">
        <v>19</v>
      </c>
      <c r="G526" s="58" t="s">
        <v>22</v>
      </c>
      <c r="H526" s="58" t="s">
        <v>20</v>
      </c>
      <c r="I526" s="58" t="s">
        <v>25</v>
      </c>
      <c r="J526" s="58" t="s">
        <v>19</v>
      </c>
      <c r="K526" s="58" t="s">
        <v>19</v>
      </c>
      <c r="L526" s="58" t="s">
        <v>23</v>
      </c>
      <c r="M526" s="58" t="s">
        <v>19</v>
      </c>
      <c r="N526" s="58" t="s">
        <v>19</v>
      </c>
      <c r="O526" s="58" t="s">
        <v>19</v>
      </c>
      <c r="P526" s="58" t="s">
        <v>19</v>
      </c>
      <c r="Q526" s="58" t="s">
        <v>19</v>
      </c>
      <c r="R526" s="74" t="s">
        <v>344</v>
      </c>
      <c r="S526" s="63" t="s">
        <v>0</v>
      </c>
      <c r="T526" s="64">
        <v>0</v>
      </c>
      <c r="U526" s="64">
        <v>6000</v>
      </c>
      <c r="V526" s="64">
        <v>0</v>
      </c>
      <c r="W526" s="64">
        <v>0</v>
      </c>
      <c r="X526" s="64">
        <v>0</v>
      </c>
      <c r="Y526" s="64">
        <v>0</v>
      </c>
      <c r="Z526" s="64">
        <v>0</v>
      </c>
      <c r="AA526" s="64">
        <f>T526+U526+V526+W526+X526+Y526</f>
        <v>6000</v>
      </c>
      <c r="AB526" s="63">
        <v>2019</v>
      </c>
      <c r="AC526" s="33"/>
    </row>
    <row r="527" spans="1:30" s="77" customFormat="1" ht="47.25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1" t="s">
        <v>347</v>
      </c>
      <c r="S527" s="42" t="s">
        <v>39</v>
      </c>
      <c r="T527" s="42">
        <v>0</v>
      </c>
      <c r="U527" s="42">
        <v>1</v>
      </c>
      <c r="V527" s="42">
        <v>0</v>
      </c>
      <c r="W527" s="42">
        <v>0</v>
      </c>
      <c r="X527" s="42">
        <v>0</v>
      </c>
      <c r="Y527" s="42">
        <v>0</v>
      </c>
      <c r="Z527" s="42">
        <v>0</v>
      </c>
      <c r="AA527" s="53">
        <f>U527</f>
        <v>1</v>
      </c>
      <c r="AB527" s="42">
        <v>2019</v>
      </c>
      <c r="AC527" s="119"/>
    </row>
    <row r="528" spans="1:30" ht="47.25" x14ac:dyDescent="0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80" t="s">
        <v>55</v>
      </c>
      <c r="S528" s="49" t="s">
        <v>0</v>
      </c>
      <c r="T528" s="50">
        <f t="shared" ref="T528:Y528" si="122">T530+T536+T539</f>
        <v>25348.3</v>
      </c>
      <c r="U528" s="50">
        <f t="shared" si="122"/>
        <v>38280.800000000003</v>
      </c>
      <c r="V528" s="50">
        <f t="shared" si="122"/>
        <v>25348.3</v>
      </c>
      <c r="W528" s="50">
        <f t="shared" si="122"/>
        <v>21505.8</v>
      </c>
      <c r="X528" s="50">
        <f t="shared" si="122"/>
        <v>31505.8</v>
      </c>
      <c r="Y528" s="50">
        <f t="shared" si="122"/>
        <v>31505.8</v>
      </c>
      <c r="Z528" s="50">
        <f t="shared" ref="Z528" si="123">Z530+Z536+Z539</f>
        <v>21505.8</v>
      </c>
      <c r="AA528" s="50">
        <f>SUM(T528:Z528)</f>
        <v>195000.59999999998</v>
      </c>
      <c r="AB528" s="51">
        <v>2024</v>
      </c>
    </row>
    <row r="529" spans="1:33" ht="47.25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99" t="s">
        <v>174</v>
      </c>
      <c r="S529" s="42" t="s">
        <v>35</v>
      </c>
      <c r="T529" s="88">
        <f>T531</f>
        <v>2224963</v>
      </c>
      <c r="U529" s="88">
        <f t="shared" ref="U529:AA529" si="124">U531</f>
        <v>2224963</v>
      </c>
      <c r="V529" s="88">
        <f t="shared" si="124"/>
        <v>2224963</v>
      </c>
      <c r="W529" s="88">
        <f t="shared" si="124"/>
        <v>2224963</v>
      </c>
      <c r="X529" s="88">
        <f t="shared" si="124"/>
        <v>2224963</v>
      </c>
      <c r="Y529" s="88">
        <f t="shared" si="124"/>
        <v>2224963</v>
      </c>
      <c r="Z529" s="88">
        <f t="shared" ref="Z529" si="125">Z531</f>
        <v>2224963</v>
      </c>
      <c r="AA529" s="89">
        <f t="shared" si="124"/>
        <v>2224963</v>
      </c>
      <c r="AB529" s="42">
        <v>2024</v>
      </c>
      <c r="AD529" s="12"/>
      <c r="AE529" s="12"/>
      <c r="AF529" s="12"/>
      <c r="AG529" s="12"/>
    </row>
    <row r="530" spans="1:33" ht="31.5" x14ac:dyDescent="0.25">
      <c r="A530" s="58" t="s">
        <v>19</v>
      </c>
      <c r="B530" s="58" t="s">
        <v>20</v>
      </c>
      <c r="C530" s="58" t="s">
        <v>21</v>
      </c>
      <c r="D530" s="58" t="s">
        <v>19</v>
      </c>
      <c r="E530" s="58" t="s">
        <v>22</v>
      </c>
      <c r="F530" s="58" t="s">
        <v>19</v>
      </c>
      <c r="G530" s="58" t="s">
        <v>23</v>
      </c>
      <c r="H530" s="58" t="s">
        <v>20</v>
      </c>
      <c r="I530" s="58" t="s">
        <v>25</v>
      </c>
      <c r="J530" s="58" t="s">
        <v>19</v>
      </c>
      <c r="K530" s="58" t="s">
        <v>19</v>
      </c>
      <c r="L530" s="58" t="s">
        <v>25</v>
      </c>
      <c r="M530" s="58" t="s">
        <v>19</v>
      </c>
      <c r="N530" s="58" t="s">
        <v>19</v>
      </c>
      <c r="O530" s="58" t="s">
        <v>19</v>
      </c>
      <c r="P530" s="58" t="s">
        <v>19</v>
      </c>
      <c r="Q530" s="58" t="s">
        <v>19</v>
      </c>
      <c r="R530" s="59" t="s">
        <v>175</v>
      </c>
      <c r="S530" s="63" t="s">
        <v>0</v>
      </c>
      <c r="T530" s="64">
        <v>25348.3</v>
      </c>
      <c r="U530" s="64">
        <v>23600</v>
      </c>
      <c r="V530" s="64">
        <v>25348.3</v>
      </c>
      <c r="W530" s="64">
        <v>21505.8</v>
      </c>
      <c r="X530" s="64">
        <v>21505.8</v>
      </c>
      <c r="Y530" s="64">
        <v>21505.8</v>
      </c>
      <c r="Z530" s="64">
        <v>21505.8</v>
      </c>
      <c r="AA530" s="64">
        <f>SUM(T530:Z530)</f>
        <v>160319.79999999999</v>
      </c>
      <c r="AB530" s="63">
        <v>2024</v>
      </c>
      <c r="AC530" s="33"/>
    </row>
    <row r="531" spans="1:33" ht="49.15" customHeight="1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85" t="s">
        <v>176</v>
      </c>
      <c r="S531" s="147" t="s">
        <v>35</v>
      </c>
      <c r="T531" s="2">
        <f t="shared" ref="T531:Z531" si="126">2270800-45837</f>
        <v>2224963</v>
      </c>
      <c r="U531" s="2">
        <f t="shared" si="126"/>
        <v>2224963</v>
      </c>
      <c r="V531" s="2">
        <f t="shared" si="126"/>
        <v>2224963</v>
      </c>
      <c r="W531" s="2">
        <f t="shared" si="126"/>
        <v>2224963</v>
      </c>
      <c r="X531" s="2">
        <f t="shared" si="126"/>
        <v>2224963</v>
      </c>
      <c r="Y531" s="2">
        <f t="shared" si="126"/>
        <v>2224963</v>
      </c>
      <c r="Z531" s="2">
        <f t="shared" si="126"/>
        <v>2224963</v>
      </c>
      <c r="AA531" s="46">
        <v>2224963</v>
      </c>
      <c r="AB531" s="42">
        <v>2024</v>
      </c>
      <c r="AC531" s="33"/>
    </row>
    <row r="532" spans="1:33" ht="31.5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66" t="s">
        <v>177</v>
      </c>
      <c r="S532" s="147" t="s">
        <v>54</v>
      </c>
      <c r="T532" s="2">
        <v>365</v>
      </c>
      <c r="U532" s="2">
        <v>365</v>
      </c>
      <c r="V532" s="45">
        <v>366</v>
      </c>
      <c r="W532" s="2">
        <v>365</v>
      </c>
      <c r="X532" s="2">
        <v>365</v>
      </c>
      <c r="Y532" s="2">
        <v>365</v>
      </c>
      <c r="Z532" s="2">
        <v>365</v>
      </c>
      <c r="AA532" s="46">
        <f>T532+U532+V532+W532+X532+Y532+Z532</f>
        <v>2556</v>
      </c>
      <c r="AB532" s="42">
        <v>2024</v>
      </c>
      <c r="AC532" s="33"/>
    </row>
    <row r="533" spans="1:33" ht="32.25" customHeight="1" x14ac:dyDescent="0.2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66" t="s">
        <v>178</v>
      </c>
      <c r="S533" s="147" t="s">
        <v>39</v>
      </c>
      <c r="T533" s="2">
        <v>4917</v>
      </c>
      <c r="U533" s="2">
        <v>5400</v>
      </c>
      <c r="V533" s="2">
        <v>5400</v>
      </c>
      <c r="W533" s="2">
        <v>5400</v>
      </c>
      <c r="X533" s="2">
        <v>5400</v>
      </c>
      <c r="Y533" s="2">
        <v>5400</v>
      </c>
      <c r="Z533" s="2">
        <v>5400</v>
      </c>
      <c r="AA533" s="46">
        <f t="shared" ref="AA533:AA535" si="127">T533+U533+V533+W533+X533+Y533+Z533</f>
        <v>37317</v>
      </c>
      <c r="AB533" s="42">
        <v>2024</v>
      </c>
      <c r="AC533" s="132"/>
      <c r="AD533" s="110"/>
    </row>
    <row r="534" spans="1:33" ht="47.25" x14ac:dyDescent="0.2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66" t="s">
        <v>179</v>
      </c>
      <c r="S534" s="147" t="s">
        <v>39</v>
      </c>
      <c r="T534" s="2">
        <v>4598</v>
      </c>
      <c r="U534" s="2">
        <v>1900</v>
      </c>
      <c r="V534" s="2">
        <v>1900</v>
      </c>
      <c r="W534" s="2">
        <v>1900</v>
      </c>
      <c r="X534" s="2">
        <v>1900</v>
      </c>
      <c r="Y534" s="2">
        <v>1900</v>
      </c>
      <c r="Z534" s="2">
        <v>1900</v>
      </c>
      <c r="AA534" s="46">
        <f t="shared" si="127"/>
        <v>15998</v>
      </c>
      <c r="AB534" s="42">
        <v>2024</v>
      </c>
      <c r="AC534" s="132"/>
      <c r="AD534" s="110"/>
    </row>
    <row r="535" spans="1:33" ht="47.25" x14ac:dyDescent="0.2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66" t="s">
        <v>180</v>
      </c>
      <c r="S535" s="147" t="s">
        <v>39</v>
      </c>
      <c r="T535" s="2">
        <v>488</v>
      </c>
      <c r="U535" s="2">
        <v>550</v>
      </c>
      <c r="V535" s="2">
        <v>550</v>
      </c>
      <c r="W535" s="2">
        <v>550</v>
      </c>
      <c r="X535" s="2">
        <v>550</v>
      </c>
      <c r="Y535" s="2">
        <v>550</v>
      </c>
      <c r="Z535" s="2">
        <v>550</v>
      </c>
      <c r="AA535" s="46">
        <f t="shared" si="127"/>
        <v>3788</v>
      </c>
      <c r="AB535" s="42">
        <v>2024</v>
      </c>
      <c r="AC535" s="132"/>
      <c r="AD535" s="110"/>
    </row>
    <row r="536" spans="1:33" ht="31.5" x14ac:dyDescent="0.25">
      <c r="A536" s="58" t="s">
        <v>19</v>
      </c>
      <c r="B536" s="58" t="s">
        <v>20</v>
      </c>
      <c r="C536" s="58" t="s">
        <v>21</v>
      </c>
      <c r="D536" s="58" t="s">
        <v>19</v>
      </c>
      <c r="E536" s="58" t="s">
        <v>22</v>
      </c>
      <c r="F536" s="58" t="s">
        <v>19</v>
      </c>
      <c r="G536" s="58" t="s">
        <v>23</v>
      </c>
      <c r="H536" s="58" t="s">
        <v>20</v>
      </c>
      <c r="I536" s="58" t="s">
        <v>25</v>
      </c>
      <c r="J536" s="58" t="s">
        <v>19</v>
      </c>
      <c r="K536" s="58" t="s">
        <v>19</v>
      </c>
      <c r="L536" s="58" t="s">
        <v>25</v>
      </c>
      <c r="M536" s="58" t="s">
        <v>19</v>
      </c>
      <c r="N536" s="58" t="s">
        <v>19</v>
      </c>
      <c r="O536" s="58" t="s">
        <v>19</v>
      </c>
      <c r="P536" s="58" t="s">
        <v>19</v>
      </c>
      <c r="Q536" s="58" t="s">
        <v>20</v>
      </c>
      <c r="R536" s="59" t="s">
        <v>181</v>
      </c>
      <c r="S536" s="63" t="s">
        <v>0</v>
      </c>
      <c r="T536" s="64">
        <v>0</v>
      </c>
      <c r="U536" s="64">
        <v>4000</v>
      </c>
      <c r="V536" s="64">
        <v>0</v>
      </c>
      <c r="W536" s="64">
        <v>0</v>
      </c>
      <c r="X536" s="64">
        <v>10000</v>
      </c>
      <c r="Y536" s="64">
        <v>10000</v>
      </c>
      <c r="Z536" s="64">
        <v>0</v>
      </c>
      <c r="AA536" s="64">
        <f>T536+U536+V536+W536+X536+Y536</f>
        <v>24000</v>
      </c>
      <c r="AB536" s="63">
        <v>2023</v>
      </c>
      <c r="AC536" s="33"/>
      <c r="AD536" s="110"/>
    </row>
    <row r="537" spans="1:33" ht="35.450000000000003" customHeight="1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1" t="s">
        <v>300</v>
      </c>
      <c r="S537" s="42" t="s">
        <v>39</v>
      </c>
      <c r="T537" s="45">
        <v>0</v>
      </c>
      <c r="U537" s="45">
        <v>1</v>
      </c>
      <c r="V537" s="45">
        <v>0</v>
      </c>
      <c r="W537" s="45">
        <v>0</v>
      </c>
      <c r="X537" s="45">
        <v>0</v>
      </c>
      <c r="Y537" s="45">
        <v>0</v>
      </c>
      <c r="Z537" s="45">
        <v>0</v>
      </c>
      <c r="AA537" s="53">
        <v>1</v>
      </c>
      <c r="AB537" s="42">
        <v>2019</v>
      </c>
      <c r="AC537" s="33"/>
      <c r="AD537" s="112"/>
      <c r="AE537" s="112"/>
    </row>
    <row r="538" spans="1:33" ht="34.9" customHeight="1" x14ac:dyDescent="0.25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41" t="s">
        <v>82</v>
      </c>
      <c r="S538" s="102" t="s">
        <v>9</v>
      </c>
      <c r="T538" s="45">
        <v>0</v>
      </c>
      <c r="U538" s="45">
        <v>0</v>
      </c>
      <c r="V538" s="45">
        <v>0</v>
      </c>
      <c r="W538" s="45">
        <v>0</v>
      </c>
      <c r="X538" s="45">
        <v>50</v>
      </c>
      <c r="Y538" s="45">
        <v>50</v>
      </c>
      <c r="Z538" s="45">
        <v>0</v>
      </c>
      <c r="AA538" s="53">
        <v>100</v>
      </c>
      <c r="AB538" s="42">
        <v>2023</v>
      </c>
      <c r="AC538" s="33"/>
    </row>
    <row r="539" spans="1:33" ht="31.5" x14ac:dyDescent="0.25">
      <c r="A539" s="58" t="s">
        <v>19</v>
      </c>
      <c r="B539" s="58" t="s">
        <v>20</v>
      </c>
      <c r="C539" s="58" t="s">
        <v>21</v>
      </c>
      <c r="D539" s="58" t="s">
        <v>19</v>
      </c>
      <c r="E539" s="58" t="s">
        <v>22</v>
      </c>
      <c r="F539" s="58" t="s">
        <v>19</v>
      </c>
      <c r="G539" s="58" t="s">
        <v>23</v>
      </c>
      <c r="H539" s="58" t="s">
        <v>20</v>
      </c>
      <c r="I539" s="58" t="s">
        <v>25</v>
      </c>
      <c r="J539" s="58" t="s">
        <v>19</v>
      </c>
      <c r="K539" s="58" t="s">
        <v>19</v>
      </c>
      <c r="L539" s="58" t="s">
        <v>25</v>
      </c>
      <c r="M539" s="58" t="s">
        <v>19</v>
      </c>
      <c r="N539" s="58" t="s">
        <v>19</v>
      </c>
      <c r="O539" s="58" t="s">
        <v>19</v>
      </c>
      <c r="P539" s="58" t="s">
        <v>19</v>
      </c>
      <c r="Q539" s="58" t="s">
        <v>21</v>
      </c>
      <c r="R539" s="59" t="s">
        <v>276</v>
      </c>
      <c r="S539" s="63" t="s">
        <v>0</v>
      </c>
      <c r="T539" s="64">
        <v>0</v>
      </c>
      <c r="U539" s="64">
        <f>10680+0.8</f>
        <v>10680.8</v>
      </c>
      <c r="V539" s="64">
        <v>0</v>
      </c>
      <c r="W539" s="64">
        <v>0</v>
      </c>
      <c r="X539" s="64">
        <v>0</v>
      </c>
      <c r="Y539" s="64">
        <v>0</v>
      </c>
      <c r="Z539" s="64">
        <v>0</v>
      </c>
      <c r="AA539" s="64">
        <f>T539+U539+V539+W539+X539+Y539</f>
        <v>10680.8</v>
      </c>
      <c r="AB539" s="63">
        <v>2019</v>
      </c>
      <c r="AC539" s="33"/>
      <c r="AD539" s="110"/>
    </row>
    <row r="540" spans="1:33" ht="31.5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1" t="s">
        <v>301</v>
      </c>
      <c r="S540" s="42" t="s">
        <v>39</v>
      </c>
      <c r="T540" s="45">
        <v>0</v>
      </c>
      <c r="U540" s="45">
        <v>7300</v>
      </c>
      <c r="V540" s="45">
        <v>0</v>
      </c>
      <c r="W540" s="45">
        <v>0</v>
      </c>
      <c r="X540" s="45">
        <v>0</v>
      </c>
      <c r="Y540" s="45">
        <v>0</v>
      </c>
      <c r="Z540" s="45">
        <v>0</v>
      </c>
      <c r="AA540" s="53">
        <f>U540</f>
        <v>7300</v>
      </c>
      <c r="AB540" s="42">
        <v>2019</v>
      </c>
      <c r="AC540" s="33"/>
      <c r="AD540" s="112"/>
      <c r="AE540" s="112"/>
    </row>
    <row r="541" spans="1:33" x14ac:dyDescent="0.25">
      <c r="AB541" s="148" t="s">
        <v>59</v>
      </c>
    </row>
    <row r="543" spans="1:33" ht="61.15" customHeight="1" x14ac:dyDescent="0.25">
      <c r="A543" s="164" t="s">
        <v>345</v>
      </c>
      <c r="B543" s="164"/>
      <c r="C543" s="164"/>
      <c r="D543" s="164"/>
      <c r="E543" s="164"/>
      <c r="F543" s="164"/>
      <c r="G543" s="164"/>
      <c r="H543" s="164"/>
      <c r="I543" s="164"/>
      <c r="J543" s="164"/>
      <c r="K543" s="164"/>
      <c r="L543" s="164"/>
      <c r="M543" s="164"/>
      <c r="N543" s="164"/>
      <c r="O543" s="164"/>
      <c r="P543" s="164"/>
      <c r="Q543" s="164"/>
      <c r="R543" s="164"/>
      <c r="S543" s="164"/>
      <c r="T543" s="164"/>
      <c r="U543" s="164"/>
      <c r="V543" s="164"/>
      <c r="W543" s="164"/>
      <c r="X543" s="164"/>
      <c r="Y543" s="164"/>
      <c r="Z543" s="164"/>
      <c r="AA543" s="164"/>
      <c r="AB543" s="164"/>
    </row>
  </sheetData>
  <mergeCells count="74">
    <mergeCell ref="A1:AB1"/>
    <mergeCell ref="A3:AB3"/>
    <mergeCell ref="A6:AB6"/>
    <mergeCell ref="A7:AB7"/>
    <mergeCell ref="A8:AB8"/>
    <mergeCell ref="A5:AB5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R41:R45"/>
    <mergeCell ref="R50:R53"/>
    <mergeCell ref="R159:R161"/>
    <mergeCell ref="R166:R169"/>
    <mergeCell ref="R173:R176"/>
    <mergeCell ref="R126:R130"/>
    <mergeCell ref="R180:R183"/>
    <mergeCell ref="R187:R190"/>
    <mergeCell ref="R194:R197"/>
    <mergeCell ref="R205:R210"/>
    <mergeCell ref="R214:R217"/>
    <mergeCell ref="R219:R222"/>
    <mergeCell ref="R224:R228"/>
    <mergeCell ref="R230:R234"/>
    <mergeCell ref="R236:R240"/>
    <mergeCell ref="R243:R247"/>
    <mergeCell ref="R258:R262"/>
    <mergeCell ref="R264:R267"/>
    <mergeCell ref="R269:R272"/>
    <mergeCell ref="R274:R277"/>
    <mergeCell ref="R249:R255"/>
    <mergeCell ref="R279:R282"/>
    <mergeCell ref="R284:R287"/>
    <mergeCell ref="R299:R303"/>
    <mergeCell ref="R305:R310"/>
    <mergeCell ref="R289:R296"/>
    <mergeCell ref="R312:R317"/>
    <mergeCell ref="R319:R324"/>
    <mergeCell ref="R326:R331"/>
    <mergeCell ref="R333:R338"/>
    <mergeCell ref="R419:R422"/>
    <mergeCell ref="R340:R345"/>
    <mergeCell ref="R347:R352"/>
    <mergeCell ref="R354:R359"/>
    <mergeCell ref="R361:R365"/>
    <mergeCell ref="R367:R371"/>
    <mergeCell ref="R373:R378"/>
    <mergeCell ref="R389:R393"/>
    <mergeCell ref="R395:R399"/>
    <mergeCell ref="R401:R405"/>
    <mergeCell ref="R407:R411"/>
    <mergeCell ref="R380:R385"/>
    <mergeCell ref="R413:R417"/>
    <mergeCell ref="R488:R489"/>
    <mergeCell ref="R491:R492"/>
    <mergeCell ref="A543:AB543"/>
    <mergeCell ref="R494:R495"/>
    <mergeCell ref="R497:R498"/>
    <mergeCell ref="R500:R501"/>
    <mergeCell ref="R424:R428"/>
    <mergeCell ref="R430:R434"/>
    <mergeCell ref="R436:R440"/>
    <mergeCell ref="R442:R446"/>
    <mergeCell ref="R448:R452"/>
    <mergeCell ref="R505:R507"/>
  </mergeCells>
  <pageMargins left="0.35433070866141736" right="0.31496062992125984" top="0.59055118110236227" bottom="0.59055118110236227" header="0" footer="0"/>
  <pageSetup paperSize="9" scale="6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2019-08-15T14:40:29Z</dcterms:modified>
</cp:coreProperties>
</file>